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8380" windowHeight="12150"/>
  </bookViews>
  <sheets>
    <sheet name="Eingabe Diagramme" sheetId="1" r:id="rId1"/>
    <sheet name="Daten Auswertung" sheetId="2" r:id="rId2"/>
    <sheet name="Standardatmosphäre" sheetId="3" r:id="rId3"/>
    <sheet name="Adiabaten" sheetId="4" r:id="rId4"/>
    <sheet name="Sättigungsmischungsverhältnis" sheetId="5" r:id="rId5"/>
  </sheets>
  <calcPr calcId="145621"/>
</workbook>
</file>

<file path=xl/calcChain.xml><?xml version="1.0" encoding="utf-8"?>
<calcChain xmlns="http://schemas.openxmlformats.org/spreadsheetml/2006/main">
  <c r="C4" i="3" l="1"/>
  <c r="W12" i="1" l="1"/>
  <c r="AA120" i="4" l="1"/>
  <c r="Q227" i="4" l="1"/>
  <c r="AB227" i="4" s="1"/>
  <c r="Z234" i="4"/>
  <c r="Q243" i="4"/>
  <c r="AB243" i="4" s="1"/>
  <c r="Z245" i="4"/>
  <c r="Q115" i="4"/>
  <c r="AB115" i="4" s="1"/>
  <c r="I32" i="4"/>
  <c r="O115" i="4"/>
  <c r="P115" i="4" s="1"/>
  <c r="E115" i="4"/>
  <c r="Z115" i="4"/>
  <c r="C225" i="4"/>
  <c r="D225" i="4"/>
  <c r="C226" i="4"/>
  <c r="F226" i="4" s="1"/>
  <c r="D226" i="4"/>
  <c r="C227" i="4"/>
  <c r="F227" i="4" s="1"/>
  <c r="D227" i="4"/>
  <c r="Z227" i="4" s="1"/>
  <c r="C228" i="4"/>
  <c r="F229" i="4" s="1"/>
  <c r="D228" i="4"/>
  <c r="C229" i="4"/>
  <c r="D229" i="4"/>
  <c r="C230" i="4"/>
  <c r="F230" i="4" s="1"/>
  <c r="D230" i="4"/>
  <c r="Z230" i="4" s="1"/>
  <c r="C231" i="4"/>
  <c r="F231" i="4" s="1"/>
  <c r="D231" i="4"/>
  <c r="C232" i="4"/>
  <c r="F232" i="4" s="1"/>
  <c r="D232" i="4"/>
  <c r="Z232" i="4" s="1"/>
  <c r="C233" i="4"/>
  <c r="F233" i="4" s="1"/>
  <c r="D233" i="4"/>
  <c r="C234" i="4"/>
  <c r="F234" i="4" s="1"/>
  <c r="D234" i="4"/>
  <c r="C235" i="4"/>
  <c r="F235" i="4" s="1"/>
  <c r="D235" i="4"/>
  <c r="C236" i="4"/>
  <c r="F237" i="4" s="1"/>
  <c r="D236" i="4"/>
  <c r="Z236" i="4" s="1"/>
  <c r="C237" i="4"/>
  <c r="D237" i="4"/>
  <c r="C238" i="4"/>
  <c r="F238" i="4" s="1"/>
  <c r="D238" i="4"/>
  <c r="Z238" i="4" s="1"/>
  <c r="C239" i="4"/>
  <c r="F239" i="4" s="1"/>
  <c r="D239" i="4"/>
  <c r="C240" i="4"/>
  <c r="F241" i="4" s="1"/>
  <c r="D240" i="4"/>
  <c r="Z240" i="4" s="1"/>
  <c r="C241" i="4"/>
  <c r="D241" i="4"/>
  <c r="C242" i="4"/>
  <c r="F242" i="4" s="1"/>
  <c r="D242" i="4"/>
  <c r="Z242" i="4" s="1"/>
  <c r="C243" i="4"/>
  <c r="F243" i="4" s="1"/>
  <c r="D243" i="4"/>
  <c r="C244" i="4"/>
  <c r="F244" i="4" s="1"/>
  <c r="D244" i="4"/>
  <c r="C245" i="4"/>
  <c r="D245" i="4"/>
  <c r="C246" i="4"/>
  <c r="F246" i="4" s="1"/>
  <c r="D246" i="4"/>
  <c r="Z246" i="4" s="1"/>
  <c r="C247" i="4"/>
  <c r="F247" i="4" s="1"/>
  <c r="D247" i="4"/>
  <c r="Z247" i="4" s="1"/>
  <c r="C248" i="4"/>
  <c r="F248" i="4" s="1"/>
  <c r="D248" i="4"/>
  <c r="Z248" i="4" s="1"/>
  <c r="C249" i="4"/>
  <c r="D249" i="4"/>
  <c r="C250" i="4"/>
  <c r="F250" i="4" s="1"/>
  <c r="D250" i="4"/>
  <c r="Z250" i="4" s="1"/>
  <c r="C251" i="4"/>
  <c r="F251" i="4" s="1"/>
  <c r="D251" i="4"/>
  <c r="Z251" i="4" s="1"/>
  <c r="B225" i="4"/>
  <c r="I225" i="4" s="1"/>
  <c r="B226" i="4"/>
  <c r="I226" i="4" s="1"/>
  <c r="B227" i="4"/>
  <c r="I227" i="4" s="1"/>
  <c r="B228" i="4"/>
  <c r="I228" i="4" s="1"/>
  <c r="B229" i="4"/>
  <c r="I229" i="4" s="1"/>
  <c r="B230" i="4"/>
  <c r="I230" i="4" s="1"/>
  <c r="B231" i="4"/>
  <c r="I231" i="4" s="1"/>
  <c r="B232" i="4"/>
  <c r="I232" i="4" s="1"/>
  <c r="B233" i="4"/>
  <c r="I233" i="4" s="1"/>
  <c r="B234" i="4"/>
  <c r="I234" i="4" s="1"/>
  <c r="B235" i="4"/>
  <c r="I235" i="4" s="1"/>
  <c r="B236" i="4"/>
  <c r="I236" i="4" s="1"/>
  <c r="B237" i="4"/>
  <c r="I237" i="4" s="1"/>
  <c r="B238" i="4"/>
  <c r="I238" i="4" s="1"/>
  <c r="B239" i="4"/>
  <c r="I239" i="4" s="1"/>
  <c r="B240" i="4"/>
  <c r="I240" i="4" s="1"/>
  <c r="B241" i="4"/>
  <c r="I241" i="4" s="1"/>
  <c r="B242" i="4"/>
  <c r="I242" i="4" s="1"/>
  <c r="B243" i="4"/>
  <c r="I243" i="4" s="1"/>
  <c r="B244" i="4"/>
  <c r="I244" i="4" s="1"/>
  <c r="B245" i="4"/>
  <c r="I245" i="4" s="1"/>
  <c r="B246" i="4"/>
  <c r="I246" i="4" s="1"/>
  <c r="B247" i="4"/>
  <c r="I247" i="4" s="1"/>
  <c r="B248" i="4"/>
  <c r="I248" i="4" s="1"/>
  <c r="B249" i="4"/>
  <c r="I249" i="4" s="1"/>
  <c r="B250" i="4"/>
  <c r="I250" i="4" s="1"/>
  <c r="B251" i="4"/>
  <c r="I251" i="4" s="1"/>
  <c r="Q226" i="4" l="1"/>
  <c r="AB226" i="4" s="1"/>
  <c r="F249" i="4"/>
  <c r="Q230" i="4"/>
  <c r="AB230" i="4" s="1"/>
  <c r="F240" i="4"/>
  <c r="Q228" i="4"/>
  <c r="AB228" i="4" s="1"/>
  <c r="E249" i="4"/>
  <c r="O249" i="4" s="1"/>
  <c r="P249" i="4" s="1"/>
  <c r="J249" i="4"/>
  <c r="E241" i="4"/>
  <c r="O241" i="4" s="1"/>
  <c r="P241" i="4" s="1"/>
  <c r="J241" i="4"/>
  <c r="E237" i="4"/>
  <c r="O237" i="4" s="1"/>
  <c r="P237" i="4" s="1"/>
  <c r="J237" i="4"/>
  <c r="K237" i="4" s="1"/>
  <c r="E233" i="4"/>
  <c r="O233" i="4" s="1"/>
  <c r="P233" i="4" s="1"/>
  <c r="J233" i="4"/>
  <c r="K233" i="4" s="1"/>
  <c r="E229" i="4"/>
  <c r="O229" i="4" s="1"/>
  <c r="P229" i="4" s="1"/>
  <c r="J229" i="4"/>
  <c r="E225" i="4"/>
  <c r="O225" i="4" s="1"/>
  <c r="P225" i="4" s="1"/>
  <c r="J225" i="4"/>
  <c r="Z249" i="4"/>
  <c r="Q245" i="4"/>
  <c r="AB245" i="4" s="1"/>
  <c r="Q251" i="4"/>
  <c r="AB251" i="4" s="1"/>
  <c r="Q249" i="4"/>
  <c r="AB249" i="4" s="1"/>
  <c r="Q247" i="4"/>
  <c r="AB247" i="4" s="1"/>
  <c r="Q240" i="4"/>
  <c r="R240" i="4" s="1"/>
  <c r="W240" i="4" s="1"/>
  <c r="X240" i="4" s="1"/>
  <c r="Q238" i="4"/>
  <c r="AB238" i="4" s="1"/>
  <c r="Q236" i="4"/>
  <c r="AB236" i="4" s="1"/>
  <c r="Q234" i="4"/>
  <c r="AB234" i="4" s="1"/>
  <c r="Q232" i="4"/>
  <c r="AB232" i="4" s="1"/>
  <c r="E245" i="4"/>
  <c r="O245" i="4" s="1"/>
  <c r="P245" i="4" s="1"/>
  <c r="R245" i="4" s="1"/>
  <c r="S245" i="4" s="1"/>
  <c r="J245" i="4"/>
  <c r="K245" i="4" s="1"/>
  <c r="E244" i="4"/>
  <c r="O244" i="4" s="1"/>
  <c r="P244" i="4" s="1"/>
  <c r="J244" i="4"/>
  <c r="E228" i="4"/>
  <c r="O228" i="4" s="1"/>
  <c r="P228" i="4" s="1"/>
  <c r="R228" i="4" s="1"/>
  <c r="J228" i="4"/>
  <c r="Z229" i="4"/>
  <c r="Q225" i="4"/>
  <c r="AB225" i="4" s="1"/>
  <c r="F245" i="4"/>
  <c r="E251" i="4"/>
  <c r="O251" i="4" s="1"/>
  <c r="P251" i="4" s="1"/>
  <c r="R251" i="4" s="1"/>
  <c r="J251" i="4"/>
  <c r="E247" i="4"/>
  <c r="O247" i="4" s="1"/>
  <c r="P247" i="4" s="1"/>
  <c r="J247" i="4"/>
  <c r="K247" i="4" s="1"/>
  <c r="E243" i="4"/>
  <c r="O243" i="4" s="1"/>
  <c r="P243" i="4" s="1"/>
  <c r="R243" i="4" s="1"/>
  <c r="J243" i="4"/>
  <c r="E239" i="4"/>
  <c r="O239" i="4" s="1"/>
  <c r="P239" i="4" s="1"/>
  <c r="J239" i="4"/>
  <c r="K239" i="4" s="1"/>
  <c r="E235" i="4"/>
  <c r="O235" i="4" s="1"/>
  <c r="P235" i="4" s="1"/>
  <c r="J235" i="4"/>
  <c r="E231" i="4"/>
  <c r="O231" i="4" s="1"/>
  <c r="P231" i="4" s="1"/>
  <c r="J231" i="4"/>
  <c r="K231" i="4" s="1"/>
  <c r="E227" i="4"/>
  <c r="O227" i="4" s="1"/>
  <c r="P227" i="4" s="1"/>
  <c r="R227" i="4" s="1"/>
  <c r="J227" i="4"/>
  <c r="Q246" i="4"/>
  <c r="AB246" i="4" s="1"/>
  <c r="Z239" i="4"/>
  <c r="Z237" i="4"/>
  <c r="Z235" i="4"/>
  <c r="Z233" i="4"/>
  <c r="Z231" i="4"/>
  <c r="Q229" i="4"/>
  <c r="AB229" i="4" s="1"/>
  <c r="F236" i="4"/>
  <c r="F228" i="4"/>
  <c r="E248" i="4"/>
  <c r="O248" i="4" s="1"/>
  <c r="P248" i="4" s="1"/>
  <c r="R248" i="4" s="1"/>
  <c r="J248" i="4"/>
  <c r="K248" i="4" s="1"/>
  <c r="E236" i="4"/>
  <c r="O236" i="4" s="1"/>
  <c r="P236" i="4" s="1"/>
  <c r="J236" i="4"/>
  <c r="Z244" i="4"/>
  <c r="Z225" i="4"/>
  <c r="Q250" i="4"/>
  <c r="AB250" i="4" s="1"/>
  <c r="Q248" i="4"/>
  <c r="AB248" i="4" s="1"/>
  <c r="Z241" i="4"/>
  <c r="Q239" i="4"/>
  <c r="AB239" i="4" s="1"/>
  <c r="Q237" i="4"/>
  <c r="AB237" i="4" s="1"/>
  <c r="Q235" i="4"/>
  <c r="AB235" i="4" s="1"/>
  <c r="Q233" i="4"/>
  <c r="AB233" i="4" s="1"/>
  <c r="Q231" i="4"/>
  <c r="AB231" i="4" s="1"/>
  <c r="E240" i="4"/>
  <c r="O240" i="4" s="1"/>
  <c r="P240" i="4" s="1"/>
  <c r="J240" i="4"/>
  <c r="E232" i="4"/>
  <c r="O232" i="4" s="1"/>
  <c r="P232" i="4" s="1"/>
  <c r="R232" i="4" s="1"/>
  <c r="S232" i="4" s="1"/>
  <c r="J232" i="4"/>
  <c r="K232" i="4" s="1"/>
  <c r="Q242" i="4"/>
  <c r="AB242" i="4" s="1"/>
  <c r="Q244" i="4"/>
  <c r="AB244" i="4" s="1"/>
  <c r="E250" i="4"/>
  <c r="O250" i="4" s="1"/>
  <c r="P250" i="4" s="1"/>
  <c r="R250" i="4" s="1"/>
  <c r="S250" i="4" s="1"/>
  <c r="J250" i="4"/>
  <c r="E246" i="4"/>
  <c r="O246" i="4" s="1"/>
  <c r="P246" i="4" s="1"/>
  <c r="J246" i="4"/>
  <c r="E242" i="4"/>
  <c r="O242" i="4" s="1"/>
  <c r="P242" i="4" s="1"/>
  <c r="R242" i="4" s="1"/>
  <c r="J242" i="4"/>
  <c r="K242" i="4" s="1"/>
  <c r="E238" i="4"/>
  <c r="O238" i="4" s="1"/>
  <c r="P238" i="4" s="1"/>
  <c r="J238" i="4"/>
  <c r="E234" i="4"/>
  <c r="O234" i="4" s="1"/>
  <c r="P234" i="4" s="1"/>
  <c r="R234" i="4" s="1"/>
  <c r="T234" i="4" s="1"/>
  <c r="J234" i="4"/>
  <c r="E230" i="4"/>
  <c r="O230" i="4" s="1"/>
  <c r="P230" i="4" s="1"/>
  <c r="J230" i="4"/>
  <c r="E226" i="4"/>
  <c r="O226" i="4" s="1"/>
  <c r="P226" i="4" s="1"/>
  <c r="R226" i="4" s="1"/>
  <c r="T226" i="4" s="1"/>
  <c r="J226" i="4"/>
  <c r="K226" i="4" s="1"/>
  <c r="Z243" i="4"/>
  <c r="Q241" i="4"/>
  <c r="AB241" i="4" s="1"/>
  <c r="Z228" i="4"/>
  <c r="Z226" i="4"/>
  <c r="R115" i="4"/>
  <c r="W115" i="4" s="1"/>
  <c r="W227" i="4"/>
  <c r="X227" i="4" s="1"/>
  <c r="S227" i="4"/>
  <c r="T115" i="4"/>
  <c r="R230" i="4"/>
  <c r="S248" i="4"/>
  <c r="T243" i="4"/>
  <c r="W242" i="4"/>
  <c r="X242" i="4" s="1"/>
  <c r="R4" i="1"/>
  <c r="R5" i="1"/>
  <c r="R6" i="1"/>
  <c r="R7" i="1"/>
  <c r="R8" i="1"/>
  <c r="R9" i="1"/>
  <c r="R10" i="1"/>
  <c r="R11" i="1"/>
  <c r="W250" i="4" l="1"/>
  <c r="X250" i="4" s="1"/>
  <c r="AB240" i="4"/>
  <c r="R238" i="4"/>
  <c r="R244" i="4"/>
  <c r="T248" i="4"/>
  <c r="R233" i="4"/>
  <c r="T233" i="4" s="1"/>
  <c r="U232" i="4"/>
  <c r="V232" i="4" s="1"/>
  <c r="K230" i="4"/>
  <c r="U230" i="4" s="1"/>
  <c r="V230" i="4" s="1"/>
  <c r="K246" i="4"/>
  <c r="K240" i="4"/>
  <c r="R235" i="4"/>
  <c r="W226" i="4"/>
  <c r="X226" i="4" s="1"/>
  <c r="U250" i="4"/>
  <c r="V250" i="4" s="1"/>
  <c r="S234" i="4"/>
  <c r="U234" i="4"/>
  <c r="V234" i="4" s="1"/>
  <c r="W234" i="4"/>
  <c r="X234" i="4" s="1"/>
  <c r="K234" i="4"/>
  <c r="K250" i="4"/>
  <c r="K228" i="4"/>
  <c r="U228" i="4" s="1"/>
  <c r="V228" i="4" s="1"/>
  <c r="K225" i="4"/>
  <c r="K241" i="4"/>
  <c r="T238" i="4"/>
  <c r="S238" i="4"/>
  <c r="W235" i="4"/>
  <c r="X235" i="4" s="1"/>
  <c r="T232" i="4"/>
  <c r="R239" i="4"/>
  <c r="T235" i="4"/>
  <c r="W233" i="4"/>
  <c r="X233" i="4" s="1"/>
  <c r="W245" i="4"/>
  <c r="X245" i="4" s="1"/>
  <c r="K227" i="4"/>
  <c r="U227" i="4" s="1"/>
  <c r="V227" i="4" s="1"/>
  <c r="K243" i="4"/>
  <c r="R237" i="4"/>
  <c r="T250" i="4"/>
  <c r="U242" i="4"/>
  <c r="V242" i="4" s="1"/>
  <c r="T242" i="4"/>
  <c r="S233" i="4"/>
  <c r="W251" i="4"/>
  <c r="X251" i="4" s="1"/>
  <c r="T245" i="4"/>
  <c r="S226" i="4"/>
  <c r="R225" i="4"/>
  <c r="R241" i="4"/>
  <c r="U233" i="4"/>
  <c r="V233" i="4" s="1"/>
  <c r="S235" i="4"/>
  <c r="W248" i="4"/>
  <c r="X248" i="4" s="1"/>
  <c r="R246" i="4"/>
  <c r="U246" i="4" s="1"/>
  <c r="V246" i="4" s="1"/>
  <c r="U243" i="4"/>
  <c r="V243" i="4" s="1"/>
  <c r="S251" i="4"/>
  <c r="W232" i="4"/>
  <c r="X232" i="4" s="1"/>
  <c r="W243" i="4"/>
  <c r="X243" i="4" s="1"/>
  <c r="W238" i="4"/>
  <c r="X238" i="4" s="1"/>
  <c r="U248" i="4"/>
  <c r="V248" i="4" s="1"/>
  <c r="K238" i="4"/>
  <c r="U238" i="4" s="1"/>
  <c r="V238" i="4" s="1"/>
  <c r="K236" i="4"/>
  <c r="R231" i="4"/>
  <c r="R247" i="4"/>
  <c r="K244" i="4"/>
  <c r="K229" i="4"/>
  <c r="K249" i="4"/>
  <c r="U226" i="4"/>
  <c r="V226" i="4" s="1"/>
  <c r="U245" i="4"/>
  <c r="V245" i="4" s="1"/>
  <c r="T251" i="4"/>
  <c r="S242" i="4"/>
  <c r="S243" i="4"/>
  <c r="W239" i="4"/>
  <c r="X239" i="4" s="1"/>
  <c r="T227" i="4"/>
  <c r="T244" i="4"/>
  <c r="R236" i="4"/>
  <c r="K235" i="4"/>
  <c r="U235" i="4" s="1"/>
  <c r="V235" i="4" s="1"/>
  <c r="K251" i="4"/>
  <c r="U251" i="4" s="1"/>
  <c r="V251" i="4" s="1"/>
  <c r="R229" i="4"/>
  <c r="R249" i="4"/>
  <c r="S240" i="4"/>
  <c r="U240" i="4"/>
  <c r="V240" i="4" s="1"/>
  <c r="S115" i="4"/>
  <c r="T240" i="4"/>
  <c r="W246" i="4"/>
  <c r="X246" i="4" s="1"/>
  <c r="S246" i="4"/>
  <c r="T228" i="4"/>
  <c r="W228" i="4"/>
  <c r="X228" i="4" s="1"/>
  <c r="S228" i="4"/>
  <c r="W230" i="4"/>
  <c r="X230" i="4" s="1"/>
  <c r="S230" i="4"/>
  <c r="T230" i="4"/>
  <c r="U115" i="4"/>
  <c r="V115" i="4" s="1"/>
  <c r="X115" i="4"/>
  <c r="C75" i="4"/>
  <c r="D75" i="4" s="1"/>
  <c r="D76" i="4" s="1"/>
  <c r="B75" i="4"/>
  <c r="W244" i="4" l="1"/>
  <c r="X244" i="4" s="1"/>
  <c r="S244" i="4"/>
  <c r="U244" i="4"/>
  <c r="V244" i="4" s="1"/>
  <c r="U241" i="4"/>
  <c r="V241" i="4" s="1"/>
  <c r="S241" i="4"/>
  <c r="W241" i="4"/>
  <c r="X241" i="4" s="1"/>
  <c r="T241" i="4"/>
  <c r="U249" i="4"/>
  <c r="V249" i="4" s="1"/>
  <c r="T249" i="4"/>
  <c r="S249" i="4"/>
  <c r="W249" i="4"/>
  <c r="X249" i="4" s="1"/>
  <c r="W225" i="4"/>
  <c r="X225" i="4" s="1"/>
  <c r="S225" i="4"/>
  <c r="U225" i="4"/>
  <c r="V225" i="4" s="1"/>
  <c r="T225" i="4"/>
  <c r="U239" i="4"/>
  <c r="V239" i="4" s="1"/>
  <c r="S239" i="4"/>
  <c r="T239" i="4"/>
  <c r="T246" i="4"/>
  <c r="U229" i="4"/>
  <c r="V229" i="4" s="1"/>
  <c r="W229" i="4"/>
  <c r="X229" i="4" s="1"/>
  <c r="S229" i="4"/>
  <c r="T229" i="4"/>
  <c r="U247" i="4"/>
  <c r="V247" i="4" s="1"/>
  <c r="T247" i="4"/>
  <c r="S247" i="4"/>
  <c r="W247" i="4"/>
  <c r="X247" i="4" s="1"/>
  <c r="U237" i="4"/>
  <c r="V237" i="4" s="1"/>
  <c r="S237" i="4"/>
  <c r="T237" i="4"/>
  <c r="W237" i="4"/>
  <c r="X237" i="4" s="1"/>
  <c r="U236" i="4"/>
  <c r="V236" i="4" s="1"/>
  <c r="T236" i="4"/>
  <c r="W236" i="4"/>
  <c r="X236" i="4" s="1"/>
  <c r="S236" i="4"/>
  <c r="U231" i="4"/>
  <c r="V231" i="4" s="1"/>
  <c r="S231" i="4"/>
  <c r="W231" i="4"/>
  <c r="X231" i="4" s="1"/>
  <c r="T231" i="4"/>
  <c r="B76" i="4"/>
  <c r="D77" i="4"/>
  <c r="B77" i="4" s="1"/>
  <c r="C76" i="4"/>
  <c r="D78" i="4" l="1"/>
  <c r="B78" i="4" s="1"/>
  <c r="C77" i="4"/>
  <c r="E6" i="4"/>
  <c r="J32" i="4"/>
  <c r="E3" i="4"/>
  <c r="E32" i="4"/>
  <c r="F32" i="4" l="1"/>
  <c r="C78" i="4"/>
  <c r="D79" i="4"/>
  <c r="B79" i="4" s="1"/>
  <c r="G32" i="4" l="1"/>
  <c r="C79" i="4"/>
  <c r="D80" i="4"/>
  <c r="B80" i="4" s="1"/>
  <c r="D81" i="4" l="1"/>
  <c r="B81" i="4" s="1"/>
  <c r="C80" i="4"/>
  <c r="C81" i="4" l="1"/>
  <c r="D82" i="4"/>
  <c r="B82" i="4" s="1"/>
  <c r="D83" i="4" l="1"/>
  <c r="B83" i="4" s="1"/>
  <c r="C82" i="4"/>
  <c r="D84" i="4" l="1"/>
  <c r="B84" i="4" s="1"/>
  <c r="C83" i="4"/>
  <c r="C84" i="4" l="1"/>
  <c r="D85" i="4"/>
  <c r="B85" i="4" s="1"/>
  <c r="D86" i="4" l="1"/>
  <c r="B86" i="4" s="1"/>
  <c r="C85" i="4"/>
  <c r="D87" i="4" l="1"/>
  <c r="B87" i="4" s="1"/>
  <c r="C86" i="4"/>
  <c r="C87" i="4" l="1"/>
  <c r="D88" i="4"/>
  <c r="B88" i="4" s="1"/>
  <c r="U38" i="5"/>
  <c r="U36" i="5"/>
  <c r="N61" i="5" s="1"/>
  <c r="C32" i="4"/>
  <c r="D32" i="4" s="1"/>
  <c r="C88" i="4" l="1"/>
  <c r="D89" i="4"/>
  <c r="B89" i="4" s="1"/>
  <c r="C65" i="5"/>
  <c r="BA63" i="5"/>
  <c r="AZ63" i="5"/>
  <c r="AY63" i="5"/>
  <c r="AX63" i="5"/>
  <c r="AW63" i="5"/>
  <c r="AV63" i="5"/>
  <c r="AU63" i="5"/>
  <c r="AT63" i="5"/>
  <c r="AS63" i="5"/>
  <c r="AR63" i="5"/>
  <c r="AM63" i="5"/>
  <c r="AL63" i="5"/>
  <c r="AK63" i="5"/>
  <c r="AJ63" i="5"/>
  <c r="AI63" i="5"/>
  <c r="AH63" i="5"/>
  <c r="AG63" i="5"/>
  <c r="AF63" i="5"/>
  <c r="AE63" i="5"/>
  <c r="AD63" i="5"/>
  <c r="Z63" i="5"/>
  <c r="Y63" i="5"/>
  <c r="X63" i="5"/>
  <c r="W63" i="5"/>
  <c r="V63" i="5"/>
  <c r="U63" i="5"/>
  <c r="T63" i="5"/>
  <c r="S63" i="5"/>
  <c r="R63" i="5"/>
  <c r="Q63" i="5"/>
  <c r="M63" i="5"/>
  <c r="L63" i="5"/>
  <c r="K63" i="5"/>
  <c r="J63" i="5"/>
  <c r="I63" i="5"/>
  <c r="H63" i="5"/>
  <c r="G63" i="5"/>
  <c r="F63" i="5"/>
  <c r="E63" i="5"/>
  <c r="D63" i="5"/>
  <c r="G52" i="5"/>
  <c r="G50" i="5"/>
  <c r="G48" i="5"/>
  <c r="G46" i="5"/>
  <c r="G44" i="5"/>
  <c r="G42" i="5"/>
  <c r="G40" i="5"/>
  <c r="G38" i="5"/>
  <c r="G36" i="5"/>
  <c r="G34" i="5"/>
  <c r="I33" i="5"/>
  <c r="I34" i="5" s="1"/>
  <c r="I35" i="5" s="1"/>
  <c r="G32" i="5"/>
  <c r="K32" i="5" s="1"/>
  <c r="M32" i="5" s="1"/>
  <c r="O32" i="5" s="1"/>
  <c r="P32" i="5" s="1"/>
  <c r="M13" i="5"/>
  <c r="M16" i="5" s="1"/>
  <c r="M18" i="5" s="1"/>
  <c r="M22" i="5" s="1"/>
  <c r="M24" i="5" s="1"/>
  <c r="K65" i="5" l="1"/>
  <c r="X65" i="5" s="1"/>
  <c r="AK65" i="5" s="1"/>
  <c r="AY65" i="5" s="1"/>
  <c r="G33" i="5"/>
  <c r="G45" i="5"/>
  <c r="C89" i="4"/>
  <c r="D90" i="4"/>
  <c r="B90" i="4" s="1"/>
  <c r="BC65" i="5"/>
  <c r="C66" i="5"/>
  <c r="F66" i="5" s="1"/>
  <c r="S66" i="5" s="1"/>
  <c r="AF66" i="5" s="1"/>
  <c r="AT66" i="5" s="1"/>
  <c r="H65" i="5"/>
  <c r="U65" i="5" s="1"/>
  <c r="AH65" i="5" s="1"/>
  <c r="AV65" i="5" s="1"/>
  <c r="I65" i="5"/>
  <c r="V65" i="5" s="1"/>
  <c r="AI65" i="5" s="1"/>
  <c r="AW65" i="5" s="1"/>
  <c r="K35" i="5"/>
  <c r="I36" i="5"/>
  <c r="K33" i="5"/>
  <c r="F65" i="5"/>
  <c r="S65" i="5" s="1"/>
  <c r="AF65" i="5" s="1"/>
  <c r="AT65" i="5" s="1"/>
  <c r="D65" i="5"/>
  <c r="Q65" i="5" s="1"/>
  <c r="AD65" i="5" s="1"/>
  <c r="AR65" i="5" s="1"/>
  <c r="L65" i="5"/>
  <c r="Y65" i="5" s="1"/>
  <c r="AL65" i="5" s="1"/>
  <c r="AZ65" i="5" s="1"/>
  <c r="G49" i="5"/>
  <c r="G51" i="5"/>
  <c r="G43" i="5"/>
  <c r="G35" i="5"/>
  <c r="G41" i="5"/>
  <c r="G37" i="5"/>
  <c r="G39" i="5"/>
  <c r="K34" i="5"/>
  <c r="G47" i="5"/>
  <c r="E65" i="5"/>
  <c r="R65" i="5" s="1"/>
  <c r="AE65" i="5" s="1"/>
  <c r="AS65" i="5" s="1"/>
  <c r="M65" i="5"/>
  <c r="Z65" i="5" s="1"/>
  <c r="AM65" i="5" s="1"/>
  <c r="BA65" i="5" s="1"/>
  <c r="G65" i="5"/>
  <c r="T65" i="5" s="1"/>
  <c r="AG65" i="5" s="1"/>
  <c r="AU65" i="5" s="1"/>
  <c r="J65" i="5"/>
  <c r="W65" i="5" s="1"/>
  <c r="AJ65" i="5" s="1"/>
  <c r="AX65" i="5" s="1"/>
  <c r="I66" i="5" l="1"/>
  <c r="V66" i="5" s="1"/>
  <c r="AI66" i="5" s="1"/>
  <c r="AW66" i="5" s="1"/>
  <c r="G66" i="5"/>
  <c r="T66" i="5" s="1"/>
  <c r="AG66" i="5" s="1"/>
  <c r="AU66" i="5" s="1"/>
  <c r="BC66" i="5"/>
  <c r="D91" i="4"/>
  <c r="B91" i="4" s="1"/>
  <c r="C90" i="4"/>
  <c r="L66" i="5"/>
  <c r="Y66" i="5" s="1"/>
  <c r="AL66" i="5" s="1"/>
  <c r="AZ66" i="5" s="1"/>
  <c r="C67" i="5"/>
  <c r="K66" i="5"/>
  <c r="X66" i="5" s="1"/>
  <c r="AK66" i="5" s="1"/>
  <c r="AY66" i="5" s="1"/>
  <c r="J66" i="5"/>
  <c r="W66" i="5" s="1"/>
  <c r="AJ66" i="5" s="1"/>
  <c r="AX66" i="5" s="1"/>
  <c r="E66" i="5"/>
  <c r="R66" i="5" s="1"/>
  <c r="AE66" i="5" s="1"/>
  <c r="AS66" i="5" s="1"/>
  <c r="D66" i="5"/>
  <c r="Q66" i="5" s="1"/>
  <c r="AD66" i="5" s="1"/>
  <c r="AR66" i="5" s="1"/>
  <c r="H66" i="5"/>
  <c r="U66" i="5" s="1"/>
  <c r="AH66" i="5" s="1"/>
  <c r="AV66" i="5" s="1"/>
  <c r="M66" i="5"/>
  <c r="Z66" i="5" s="1"/>
  <c r="AM66" i="5" s="1"/>
  <c r="BA66" i="5" s="1"/>
  <c r="M34" i="5"/>
  <c r="O34" i="5" s="1"/>
  <c r="P34" i="5" s="1"/>
  <c r="M33" i="5"/>
  <c r="O33" i="5" s="1"/>
  <c r="P33" i="5" s="1"/>
  <c r="I37" i="5"/>
  <c r="K36" i="5"/>
  <c r="M35" i="5"/>
  <c r="O35" i="5" s="1"/>
  <c r="P35" i="5" s="1"/>
  <c r="D92" i="4" l="1"/>
  <c r="B92" i="4" s="1"/>
  <c r="C91" i="4"/>
  <c r="C68" i="5"/>
  <c r="L67" i="5"/>
  <c r="Y67" i="5" s="1"/>
  <c r="AL67" i="5" s="1"/>
  <c r="AZ67" i="5" s="1"/>
  <c r="M67" i="5"/>
  <c r="Z67" i="5" s="1"/>
  <c r="AM67" i="5" s="1"/>
  <c r="BA67" i="5" s="1"/>
  <c r="BC67" i="5"/>
  <c r="K67" i="5"/>
  <c r="X67" i="5" s="1"/>
  <c r="AK67" i="5" s="1"/>
  <c r="AY67" i="5" s="1"/>
  <c r="G67" i="5"/>
  <c r="T67" i="5" s="1"/>
  <c r="AG67" i="5" s="1"/>
  <c r="AU67" i="5" s="1"/>
  <c r="D67" i="5"/>
  <c r="Q67" i="5" s="1"/>
  <c r="AD67" i="5" s="1"/>
  <c r="AR67" i="5" s="1"/>
  <c r="E67" i="5"/>
  <c r="R67" i="5" s="1"/>
  <c r="AE67" i="5" s="1"/>
  <c r="AS67" i="5" s="1"/>
  <c r="H67" i="5"/>
  <c r="U67" i="5" s="1"/>
  <c r="AH67" i="5" s="1"/>
  <c r="AV67" i="5" s="1"/>
  <c r="I67" i="5"/>
  <c r="V67" i="5" s="1"/>
  <c r="AI67" i="5" s="1"/>
  <c r="AW67" i="5" s="1"/>
  <c r="F67" i="5"/>
  <c r="S67" i="5" s="1"/>
  <c r="AF67" i="5" s="1"/>
  <c r="AT67" i="5" s="1"/>
  <c r="J67" i="5"/>
  <c r="W67" i="5" s="1"/>
  <c r="AJ67" i="5" s="1"/>
  <c r="AX67" i="5" s="1"/>
  <c r="M36" i="5"/>
  <c r="O36" i="5" s="1"/>
  <c r="P36" i="5" s="1"/>
  <c r="I38" i="5"/>
  <c r="K37" i="5"/>
  <c r="D93" i="4" l="1"/>
  <c r="B93" i="4" s="1"/>
  <c r="C92" i="4"/>
  <c r="C69" i="5"/>
  <c r="L68" i="5"/>
  <c r="Y68" i="5" s="1"/>
  <c r="AL68" i="5" s="1"/>
  <c r="AZ68" i="5" s="1"/>
  <c r="I68" i="5"/>
  <c r="V68" i="5" s="1"/>
  <c r="AI68" i="5" s="1"/>
  <c r="AW68" i="5" s="1"/>
  <c r="E68" i="5"/>
  <c r="R68" i="5" s="1"/>
  <c r="AE68" i="5" s="1"/>
  <c r="AS68" i="5" s="1"/>
  <c r="J68" i="5"/>
  <c r="W68" i="5" s="1"/>
  <c r="AJ68" i="5" s="1"/>
  <c r="AX68" i="5" s="1"/>
  <c r="K68" i="5"/>
  <c r="X68" i="5" s="1"/>
  <c r="AK68" i="5" s="1"/>
  <c r="AY68" i="5" s="1"/>
  <c r="F68" i="5"/>
  <c r="S68" i="5" s="1"/>
  <c r="AF68" i="5" s="1"/>
  <c r="AT68" i="5" s="1"/>
  <c r="G68" i="5"/>
  <c r="T68" i="5" s="1"/>
  <c r="AG68" i="5" s="1"/>
  <c r="AU68" i="5" s="1"/>
  <c r="H68" i="5"/>
  <c r="U68" i="5" s="1"/>
  <c r="AH68" i="5" s="1"/>
  <c r="AV68" i="5" s="1"/>
  <c r="M68" i="5"/>
  <c r="Z68" i="5" s="1"/>
  <c r="AM68" i="5" s="1"/>
  <c r="BA68" i="5" s="1"/>
  <c r="D68" i="5"/>
  <c r="Q68" i="5" s="1"/>
  <c r="AD68" i="5" s="1"/>
  <c r="AR68" i="5" s="1"/>
  <c r="BC68" i="5"/>
  <c r="M37" i="5"/>
  <c r="O37" i="5" s="1"/>
  <c r="P37" i="5" s="1"/>
  <c r="I39" i="5"/>
  <c r="K38" i="5"/>
  <c r="D94" i="4" l="1"/>
  <c r="B94" i="4" s="1"/>
  <c r="C93" i="4"/>
  <c r="BC69" i="5"/>
  <c r="C70" i="5"/>
  <c r="I69" i="5"/>
  <c r="V69" i="5" s="1"/>
  <c r="AI69" i="5" s="1"/>
  <c r="AW69" i="5" s="1"/>
  <c r="D69" i="5"/>
  <c r="Q69" i="5" s="1"/>
  <c r="AD69" i="5" s="1"/>
  <c r="AR69" i="5" s="1"/>
  <c r="E69" i="5"/>
  <c r="R69" i="5" s="1"/>
  <c r="AE69" i="5" s="1"/>
  <c r="AS69" i="5" s="1"/>
  <c r="G69" i="5"/>
  <c r="T69" i="5" s="1"/>
  <c r="AG69" i="5" s="1"/>
  <c r="AU69" i="5" s="1"/>
  <c r="J69" i="5"/>
  <c r="W69" i="5" s="1"/>
  <c r="AJ69" i="5" s="1"/>
  <c r="AX69" i="5" s="1"/>
  <c r="H69" i="5"/>
  <c r="U69" i="5" s="1"/>
  <c r="AH69" i="5" s="1"/>
  <c r="AV69" i="5" s="1"/>
  <c r="L69" i="5"/>
  <c r="Y69" i="5" s="1"/>
  <c r="AL69" i="5" s="1"/>
  <c r="AZ69" i="5" s="1"/>
  <c r="K69" i="5"/>
  <c r="X69" i="5" s="1"/>
  <c r="AK69" i="5" s="1"/>
  <c r="AY69" i="5" s="1"/>
  <c r="M69" i="5"/>
  <c r="Z69" i="5" s="1"/>
  <c r="AM69" i="5" s="1"/>
  <c r="BA69" i="5" s="1"/>
  <c r="F69" i="5"/>
  <c r="S69" i="5" s="1"/>
  <c r="AF69" i="5" s="1"/>
  <c r="AT69" i="5" s="1"/>
  <c r="M38" i="5"/>
  <c r="O38" i="5" s="1"/>
  <c r="P38" i="5" s="1"/>
  <c r="I40" i="5"/>
  <c r="K39" i="5"/>
  <c r="C94" i="4" l="1"/>
  <c r="D95" i="4"/>
  <c r="B95" i="4" s="1"/>
  <c r="E70" i="5"/>
  <c r="R70" i="5" s="1"/>
  <c r="AE70" i="5" s="1"/>
  <c r="AS70" i="5" s="1"/>
  <c r="F70" i="5"/>
  <c r="S70" i="5" s="1"/>
  <c r="AF70" i="5" s="1"/>
  <c r="AT70" i="5" s="1"/>
  <c r="D70" i="5"/>
  <c r="Q70" i="5" s="1"/>
  <c r="AD70" i="5" s="1"/>
  <c r="AR70" i="5" s="1"/>
  <c r="M70" i="5"/>
  <c r="Z70" i="5" s="1"/>
  <c r="AM70" i="5" s="1"/>
  <c r="BA70" i="5" s="1"/>
  <c r="C71" i="5"/>
  <c r="G70" i="5"/>
  <c r="T70" i="5" s="1"/>
  <c r="AG70" i="5" s="1"/>
  <c r="AU70" i="5" s="1"/>
  <c r="J70" i="5"/>
  <c r="W70" i="5" s="1"/>
  <c r="AJ70" i="5" s="1"/>
  <c r="AX70" i="5" s="1"/>
  <c r="L70" i="5"/>
  <c r="Y70" i="5" s="1"/>
  <c r="AL70" i="5" s="1"/>
  <c r="AZ70" i="5" s="1"/>
  <c r="K70" i="5"/>
  <c r="X70" i="5" s="1"/>
  <c r="AK70" i="5" s="1"/>
  <c r="AY70" i="5" s="1"/>
  <c r="BC70" i="5"/>
  <c r="I70" i="5"/>
  <c r="V70" i="5" s="1"/>
  <c r="AI70" i="5" s="1"/>
  <c r="AW70" i="5" s="1"/>
  <c r="H70" i="5"/>
  <c r="U70" i="5" s="1"/>
  <c r="AH70" i="5" s="1"/>
  <c r="AV70" i="5" s="1"/>
  <c r="I41" i="5"/>
  <c r="K40" i="5"/>
  <c r="M40" i="5" s="1"/>
  <c r="O40" i="5" s="1"/>
  <c r="P40" i="5" s="1"/>
  <c r="M39" i="5"/>
  <c r="O39" i="5" s="1"/>
  <c r="P39" i="5" s="1"/>
  <c r="C95" i="4" l="1"/>
  <c r="D96" i="4"/>
  <c r="B96" i="4" s="1"/>
  <c r="L71" i="5"/>
  <c r="Y71" i="5" s="1"/>
  <c r="AL71" i="5" s="1"/>
  <c r="AZ71" i="5" s="1"/>
  <c r="I71" i="5"/>
  <c r="V71" i="5" s="1"/>
  <c r="AI71" i="5" s="1"/>
  <c r="AW71" i="5" s="1"/>
  <c r="J71" i="5"/>
  <c r="W71" i="5" s="1"/>
  <c r="AJ71" i="5" s="1"/>
  <c r="AX71" i="5" s="1"/>
  <c r="BC71" i="5"/>
  <c r="E71" i="5"/>
  <c r="R71" i="5" s="1"/>
  <c r="AE71" i="5" s="1"/>
  <c r="AS71" i="5" s="1"/>
  <c r="F71" i="5"/>
  <c r="S71" i="5" s="1"/>
  <c r="AF71" i="5" s="1"/>
  <c r="AT71" i="5" s="1"/>
  <c r="H71" i="5"/>
  <c r="U71" i="5" s="1"/>
  <c r="AH71" i="5" s="1"/>
  <c r="AV71" i="5" s="1"/>
  <c r="K71" i="5"/>
  <c r="X71" i="5" s="1"/>
  <c r="AK71" i="5" s="1"/>
  <c r="AY71" i="5" s="1"/>
  <c r="M71" i="5"/>
  <c r="Z71" i="5" s="1"/>
  <c r="AM71" i="5" s="1"/>
  <c r="BA71" i="5" s="1"/>
  <c r="G71" i="5"/>
  <c r="T71" i="5" s="1"/>
  <c r="AG71" i="5" s="1"/>
  <c r="AU71" i="5" s="1"/>
  <c r="D71" i="5"/>
  <c r="Q71" i="5" s="1"/>
  <c r="AD71" i="5" s="1"/>
  <c r="AR71" i="5" s="1"/>
  <c r="C72" i="5"/>
  <c r="K41" i="5"/>
  <c r="M41" i="5" s="1"/>
  <c r="O41" i="5" s="1"/>
  <c r="P41" i="5" s="1"/>
  <c r="I42" i="5"/>
  <c r="D97" i="4" l="1"/>
  <c r="B97" i="4" s="1"/>
  <c r="C96" i="4"/>
  <c r="K72" i="5"/>
  <c r="X72" i="5" s="1"/>
  <c r="AK72" i="5" s="1"/>
  <c r="AY72" i="5" s="1"/>
  <c r="G72" i="5"/>
  <c r="T72" i="5" s="1"/>
  <c r="AG72" i="5" s="1"/>
  <c r="AU72" i="5" s="1"/>
  <c r="L72" i="5"/>
  <c r="Y72" i="5" s="1"/>
  <c r="AL72" i="5" s="1"/>
  <c r="AZ72" i="5" s="1"/>
  <c r="J72" i="5"/>
  <c r="W72" i="5" s="1"/>
  <c r="AJ72" i="5" s="1"/>
  <c r="AX72" i="5" s="1"/>
  <c r="F72" i="5"/>
  <c r="S72" i="5" s="1"/>
  <c r="AF72" i="5" s="1"/>
  <c r="AT72" i="5" s="1"/>
  <c r="I72" i="5"/>
  <c r="V72" i="5" s="1"/>
  <c r="AI72" i="5" s="1"/>
  <c r="AW72" i="5" s="1"/>
  <c r="C73" i="5"/>
  <c r="H72" i="5"/>
  <c r="U72" i="5" s="1"/>
  <c r="AH72" i="5" s="1"/>
  <c r="AV72" i="5" s="1"/>
  <c r="D72" i="5"/>
  <c r="Q72" i="5" s="1"/>
  <c r="AD72" i="5" s="1"/>
  <c r="AR72" i="5" s="1"/>
  <c r="M72" i="5"/>
  <c r="Z72" i="5" s="1"/>
  <c r="AM72" i="5" s="1"/>
  <c r="BA72" i="5" s="1"/>
  <c r="BC72" i="5"/>
  <c r="E72" i="5"/>
  <c r="R72" i="5" s="1"/>
  <c r="AE72" i="5" s="1"/>
  <c r="AS72" i="5" s="1"/>
  <c r="I43" i="5"/>
  <c r="K42" i="5"/>
  <c r="M42" i="5" s="1"/>
  <c r="O42" i="5" s="1"/>
  <c r="P42" i="5" s="1"/>
  <c r="D98" i="4" l="1"/>
  <c r="B98" i="4" s="1"/>
  <c r="C97" i="4"/>
  <c r="BC73" i="5"/>
  <c r="D73" i="5"/>
  <c r="Q73" i="5" s="1"/>
  <c r="AD73" i="5" s="1"/>
  <c r="AR73" i="5" s="1"/>
  <c r="F73" i="5"/>
  <c r="S73" i="5" s="1"/>
  <c r="AF73" i="5" s="1"/>
  <c r="AT73" i="5" s="1"/>
  <c r="J73" i="5"/>
  <c r="W73" i="5" s="1"/>
  <c r="AJ73" i="5" s="1"/>
  <c r="AX73" i="5" s="1"/>
  <c r="C74" i="5"/>
  <c r="G73" i="5"/>
  <c r="T73" i="5" s="1"/>
  <c r="AG73" i="5" s="1"/>
  <c r="AU73" i="5" s="1"/>
  <c r="H73" i="5"/>
  <c r="U73" i="5" s="1"/>
  <c r="AH73" i="5" s="1"/>
  <c r="AV73" i="5" s="1"/>
  <c r="E73" i="5"/>
  <c r="R73" i="5" s="1"/>
  <c r="AE73" i="5" s="1"/>
  <c r="AS73" i="5" s="1"/>
  <c r="M73" i="5"/>
  <c r="Z73" i="5" s="1"/>
  <c r="AM73" i="5" s="1"/>
  <c r="BA73" i="5" s="1"/>
  <c r="K73" i="5"/>
  <c r="X73" i="5" s="1"/>
  <c r="AK73" i="5" s="1"/>
  <c r="AY73" i="5" s="1"/>
  <c r="I73" i="5"/>
  <c r="V73" i="5" s="1"/>
  <c r="AI73" i="5" s="1"/>
  <c r="AW73" i="5" s="1"/>
  <c r="L73" i="5"/>
  <c r="Y73" i="5" s="1"/>
  <c r="AL73" i="5" s="1"/>
  <c r="AZ73" i="5" s="1"/>
  <c r="I44" i="5"/>
  <c r="K43" i="5"/>
  <c r="M43" i="5" s="1"/>
  <c r="O43" i="5" s="1"/>
  <c r="P43" i="5" s="1"/>
  <c r="V32" i="4"/>
  <c r="E4" i="4"/>
  <c r="D99" i="4" l="1"/>
  <c r="B99" i="4" s="1"/>
  <c r="C98" i="4"/>
  <c r="H12" i="4"/>
  <c r="H13" i="4" s="1"/>
  <c r="H14" i="4" s="1"/>
  <c r="M74" i="5"/>
  <c r="Z74" i="5" s="1"/>
  <c r="AM74" i="5" s="1"/>
  <c r="BA74" i="5" s="1"/>
  <c r="D74" i="5"/>
  <c r="Q74" i="5" s="1"/>
  <c r="AD74" i="5" s="1"/>
  <c r="AR74" i="5" s="1"/>
  <c r="L74" i="5"/>
  <c r="Y74" i="5" s="1"/>
  <c r="AL74" i="5" s="1"/>
  <c r="AZ74" i="5" s="1"/>
  <c r="E74" i="5"/>
  <c r="R74" i="5" s="1"/>
  <c r="AE74" i="5" s="1"/>
  <c r="AS74" i="5" s="1"/>
  <c r="C75" i="5"/>
  <c r="I74" i="5"/>
  <c r="V74" i="5" s="1"/>
  <c r="AI74" i="5" s="1"/>
  <c r="AW74" i="5" s="1"/>
  <c r="BC74" i="5"/>
  <c r="J74" i="5"/>
  <c r="W74" i="5" s="1"/>
  <c r="AJ74" i="5" s="1"/>
  <c r="AX74" i="5" s="1"/>
  <c r="K74" i="5"/>
  <c r="X74" i="5" s="1"/>
  <c r="AK74" i="5" s="1"/>
  <c r="AY74" i="5" s="1"/>
  <c r="H74" i="5"/>
  <c r="U74" i="5" s="1"/>
  <c r="AH74" i="5" s="1"/>
  <c r="AV74" i="5" s="1"/>
  <c r="G74" i="5"/>
  <c r="T74" i="5" s="1"/>
  <c r="AG74" i="5" s="1"/>
  <c r="AU74" i="5" s="1"/>
  <c r="F74" i="5"/>
  <c r="S74" i="5" s="1"/>
  <c r="AF74" i="5" s="1"/>
  <c r="AT74" i="5" s="1"/>
  <c r="I45" i="5"/>
  <c r="K44" i="5"/>
  <c r="M44" i="5" s="1"/>
  <c r="O44" i="5" s="1"/>
  <c r="P44" i="5" s="1"/>
  <c r="T32" i="4"/>
  <c r="D100" i="4" l="1"/>
  <c r="B100" i="4" s="1"/>
  <c r="C99" i="4"/>
  <c r="H32" i="4"/>
  <c r="K32" i="4" s="1"/>
  <c r="H21" i="4"/>
  <c r="H26" i="4" s="1"/>
  <c r="H27" i="4" s="1"/>
  <c r="H15" i="4"/>
  <c r="BC75" i="5"/>
  <c r="G75" i="5"/>
  <c r="T75" i="5" s="1"/>
  <c r="AG75" i="5" s="1"/>
  <c r="AU75" i="5" s="1"/>
  <c r="D75" i="5"/>
  <c r="Q75" i="5" s="1"/>
  <c r="AD75" i="5" s="1"/>
  <c r="AR75" i="5" s="1"/>
  <c r="E75" i="5"/>
  <c r="R75" i="5" s="1"/>
  <c r="AE75" i="5" s="1"/>
  <c r="AS75" i="5" s="1"/>
  <c r="M75" i="5"/>
  <c r="Z75" i="5" s="1"/>
  <c r="AM75" i="5" s="1"/>
  <c r="BA75" i="5" s="1"/>
  <c r="K75" i="5"/>
  <c r="X75" i="5" s="1"/>
  <c r="AK75" i="5" s="1"/>
  <c r="AY75" i="5" s="1"/>
  <c r="J75" i="5"/>
  <c r="W75" i="5" s="1"/>
  <c r="AJ75" i="5" s="1"/>
  <c r="AX75" i="5" s="1"/>
  <c r="H75" i="5"/>
  <c r="U75" i="5" s="1"/>
  <c r="AH75" i="5" s="1"/>
  <c r="AV75" i="5" s="1"/>
  <c r="C76" i="5"/>
  <c r="L75" i="5"/>
  <c r="Y75" i="5" s="1"/>
  <c r="AL75" i="5" s="1"/>
  <c r="AZ75" i="5" s="1"/>
  <c r="I75" i="5"/>
  <c r="V75" i="5" s="1"/>
  <c r="AI75" i="5" s="1"/>
  <c r="AW75" i="5" s="1"/>
  <c r="F75" i="5"/>
  <c r="S75" i="5" s="1"/>
  <c r="AF75" i="5" s="1"/>
  <c r="AT75" i="5" s="1"/>
  <c r="I46" i="5"/>
  <c r="K45" i="5"/>
  <c r="M45" i="5" s="1"/>
  <c r="O45" i="5" s="1"/>
  <c r="P45" i="5" s="1"/>
  <c r="O32" i="4" l="1"/>
  <c r="Q32" i="4"/>
  <c r="R32" i="4" s="1"/>
  <c r="P32" i="4"/>
  <c r="E33" i="4" s="1"/>
  <c r="C100" i="4"/>
  <c r="D101" i="4"/>
  <c r="B101" i="4" s="1"/>
  <c r="L32" i="4"/>
  <c r="K76" i="5"/>
  <c r="X76" i="5" s="1"/>
  <c r="AK76" i="5" s="1"/>
  <c r="AY76" i="5" s="1"/>
  <c r="J76" i="5"/>
  <c r="W76" i="5" s="1"/>
  <c r="AJ76" i="5" s="1"/>
  <c r="AX76" i="5" s="1"/>
  <c r="E76" i="5"/>
  <c r="R76" i="5" s="1"/>
  <c r="AE76" i="5" s="1"/>
  <c r="AS76" i="5" s="1"/>
  <c r="H76" i="5"/>
  <c r="U76" i="5" s="1"/>
  <c r="AH76" i="5" s="1"/>
  <c r="AV76" i="5" s="1"/>
  <c r="G76" i="5"/>
  <c r="T76" i="5" s="1"/>
  <c r="AG76" i="5" s="1"/>
  <c r="AU76" i="5" s="1"/>
  <c r="C77" i="5"/>
  <c r="I76" i="5"/>
  <c r="V76" i="5" s="1"/>
  <c r="AI76" i="5" s="1"/>
  <c r="AW76" i="5" s="1"/>
  <c r="F76" i="5"/>
  <c r="S76" i="5" s="1"/>
  <c r="AF76" i="5" s="1"/>
  <c r="AT76" i="5" s="1"/>
  <c r="L76" i="5"/>
  <c r="Y76" i="5" s="1"/>
  <c r="AL76" i="5" s="1"/>
  <c r="AZ76" i="5" s="1"/>
  <c r="BC76" i="5"/>
  <c r="M76" i="5"/>
  <c r="Z76" i="5" s="1"/>
  <c r="AM76" i="5" s="1"/>
  <c r="BA76" i="5" s="1"/>
  <c r="D76" i="5"/>
  <c r="Q76" i="5" s="1"/>
  <c r="AD76" i="5" s="1"/>
  <c r="AR76" i="5" s="1"/>
  <c r="I47" i="5"/>
  <c r="K46" i="5"/>
  <c r="M46" i="5" s="1"/>
  <c r="O46" i="5" s="1"/>
  <c r="P46" i="5" s="1"/>
  <c r="C101" i="4" l="1"/>
  <c r="D102" i="4"/>
  <c r="B102" i="4" s="1"/>
  <c r="E77" i="5"/>
  <c r="R77" i="5" s="1"/>
  <c r="AE77" i="5" s="1"/>
  <c r="AS77" i="5" s="1"/>
  <c r="G77" i="5"/>
  <c r="T77" i="5" s="1"/>
  <c r="AG77" i="5" s="1"/>
  <c r="AU77" i="5" s="1"/>
  <c r="I77" i="5"/>
  <c r="V77" i="5" s="1"/>
  <c r="AI77" i="5" s="1"/>
  <c r="AW77" i="5" s="1"/>
  <c r="M77" i="5"/>
  <c r="Z77" i="5" s="1"/>
  <c r="AM77" i="5" s="1"/>
  <c r="BA77" i="5" s="1"/>
  <c r="J77" i="5"/>
  <c r="W77" i="5" s="1"/>
  <c r="AJ77" i="5" s="1"/>
  <c r="AX77" i="5" s="1"/>
  <c r="BC77" i="5"/>
  <c r="D77" i="5"/>
  <c r="Q77" i="5" s="1"/>
  <c r="AD77" i="5" s="1"/>
  <c r="AR77" i="5" s="1"/>
  <c r="K77" i="5"/>
  <c r="X77" i="5" s="1"/>
  <c r="AK77" i="5" s="1"/>
  <c r="AY77" i="5" s="1"/>
  <c r="H77" i="5"/>
  <c r="U77" i="5" s="1"/>
  <c r="AH77" i="5" s="1"/>
  <c r="AV77" i="5" s="1"/>
  <c r="C78" i="5"/>
  <c r="F77" i="5"/>
  <c r="S77" i="5" s="1"/>
  <c r="AF77" i="5" s="1"/>
  <c r="AT77" i="5" s="1"/>
  <c r="L77" i="5"/>
  <c r="Y77" i="5" s="1"/>
  <c r="AL77" i="5" s="1"/>
  <c r="AZ77" i="5" s="1"/>
  <c r="I48" i="5"/>
  <c r="K47" i="5"/>
  <c r="M47" i="5" s="1"/>
  <c r="O47" i="5" s="1"/>
  <c r="P47" i="5" s="1"/>
  <c r="D103" i="4" l="1"/>
  <c r="B103" i="4" s="1"/>
  <c r="C102" i="4"/>
  <c r="M78" i="5"/>
  <c r="Z78" i="5" s="1"/>
  <c r="AM78" i="5" s="1"/>
  <c r="BA78" i="5" s="1"/>
  <c r="F78" i="5"/>
  <c r="S78" i="5" s="1"/>
  <c r="AF78" i="5" s="1"/>
  <c r="AT78" i="5" s="1"/>
  <c r="L78" i="5"/>
  <c r="Y78" i="5" s="1"/>
  <c r="AL78" i="5" s="1"/>
  <c r="AZ78" i="5" s="1"/>
  <c r="C79" i="5"/>
  <c r="G78" i="5"/>
  <c r="T78" i="5" s="1"/>
  <c r="AG78" i="5" s="1"/>
  <c r="AU78" i="5" s="1"/>
  <c r="E78" i="5"/>
  <c r="R78" i="5" s="1"/>
  <c r="AE78" i="5" s="1"/>
  <c r="AS78" i="5" s="1"/>
  <c r="H78" i="5"/>
  <c r="U78" i="5" s="1"/>
  <c r="AH78" i="5" s="1"/>
  <c r="AV78" i="5" s="1"/>
  <c r="BC78" i="5"/>
  <c r="I78" i="5"/>
  <c r="V78" i="5" s="1"/>
  <c r="AI78" i="5" s="1"/>
  <c r="AW78" i="5" s="1"/>
  <c r="D78" i="5"/>
  <c r="Q78" i="5" s="1"/>
  <c r="AD78" i="5" s="1"/>
  <c r="AR78" i="5" s="1"/>
  <c r="K78" i="5"/>
  <c r="X78" i="5" s="1"/>
  <c r="AK78" i="5" s="1"/>
  <c r="AY78" i="5" s="1"/>
  <c r="J78" i="5"/>
  <c r="W78" i="5" s="1"/>
  <c r="AJ78" i="5" s="1"/>
  <c r="AX78" i="5" s="1"/>
  <c r="I49" i="5"/>
  <c r="K48" i="5"/>
  <c r="M48" i="5" s="1"/>
  <c r="O48" i="5" s="1"/>
  <c r="P48" i="5" s="1"/>
  <c r="C103" i="4" l="1"/>
  <c r="D104" i="4"/>
  <c r="B104" i="4" s="1"/>
  <c r="L79" i="5"/>
  <c r="Y79" i="5" s="1"/>
  <c r="AL79" i="5" s="1"/>
  <c r="AZ79" i="5" s="1"/>
  <c r="G79" i="5"/>
  <c r="T79" i="5" s="1"/>
  <c r="AG79" i="5" s="1"/>
  <c r="AU79" i="5" s="1"/>
  <c r="J79" i="5"/>
  <c r="W79" i="5" s="1"/>
  <c r="AJ79" i="5" s="1"/>
  <c r="AX79" i="5" s="1"/>
  <c r="F79" i="5"/>
  <c r="S79" i="5" s="1"/>
  <c r="AF79" i="5" s="1"/>
  <c r="AT79" i="5" s="1"/>
  <c r="I79" i="5"/>
  <c r="V79" i="5" s="1"/>
  <c r="AI79" i="5" s="1"/>
  <c r="AW79" i="5" s="1"/>
  <c r="H79" i="5"/>
  <c r="U79" i="5" s="1"/>
  <c r="AH79" i="5" s="1"/>
  <c r="AV79" i="5" s="1"/>
  <c r="C80" i="5"/>
  <c r="BC79" i="5"/>
  <c r="E79" i="5"/>
  <c r="R79" i="5" s="1"/>
  <c r="AE79" i="5" s="1"/>
  <c r="AS79" i="5" s="1"/>
  <c r="D79" i="5"/>
  <c r="Q79" i="5" s="1"/>
  <c r="AD79" i="5" s="1"/>
  <c r="AR79" i="5" s="1"/>
  <c r="K79" i="5"/>
  <c r="X79" i="5" s="1"/>
  <c r="AK79" i="5" s="1"/>
  <c r="AY79" i="5" s="1"/>
  <c r="M79" i="5"/>
  <c r="Z79" i="5" s="1"/>
  <c r="AM79" i="5" s="1"/>
  <c r="BA79" i="5" s="1"/>
  <c r="I50" i="5"/>
  <c r="K49" i="5"/>
  <c r="M49" i="5" s="1"/>
  <c r="O49" i="5" s="1"/>
  <c r="P49" i="5" s="1"/>
  <c r="D105" i="4" l="1"/>
  <c r="B105" i="4" s="1"/>
  <c r="C104" i="4"/>
  <c r="K80" i="5"/>
  <c r="X80" i="5" s="1"/>
  <c r="AK80" i="5" s="1"/>
  <c r="AY80" i="5" s="1"/>
  <c r="L80" i="5"/>
  <c r="Y80" i="5" s="1"/>
  <c r="AL80" i="5" s="1"/>
  <c r="AZ80" i="5" s="1"/>
  <c r="J80" i="5"/>
  <c r="W80" i="5" s="1"/>
  <c r="AJ80" i="5" s="1"/>
  <c r="AX80" i="5" s="1"/>
  <c r="E80" i="5"/>
  <c r="R80" i="5" s="1"/>
  <c r="AE80" i="5" s="1"/>
  <c r="AS80" i="5" s="1"/>
  <c r="C81" i="5"/>
  <c r="I80" i="5"/>
  <c r="V80" i="5" s="1"/>
  <c r="AI80" i="5" s="1"/>
  <c r="AW80" i="5" s="1"/>
  <c r="F80" i="5"/>
  <c r="S80" i="5" s="1"/>
  <c r="AF80" i="5" s="1"/>
  <c r="AT80" i="5" s="1"/>
  <c r="G80" i="5"/>
  <c r="T80" i="5" s="1"/>
  <c r="AG80" i="5" s="1"/>
  <c r="AU80" i="5" s="1"/>
  <c r="M80" i="5"/>
  <c r="Z80" i="5" s="1"/>
  <c r="AM80" i="5" s="1"/>
  <c r="BA80" i="5" s="1"/>
  <c r="BC80" i="5"/>
  <c r="D80" i="5"/>
  <c r="Q80" i="5" s="1"/>
  <c r="AD80" i="5" s="1"/>
  <c r="AR80" i="5" s="1"/>
  <c r="H80" i="5"/>
  <c r="U80" i="5" s="1"/>
  <c r="AH80" i="5" s="1"/>
  <c r="AV80" i="5" s="1"/>
  <c r="I51" i="5"/>
  <c r="K50" i="5"/>
  <c r="M50" i="5" s="1"/>
  <c r="O50" i="5" s="1"/>
  <c r="P50" i="5" s="1"/>
  <c r="C105" i="4" l="1"/>
  <c r="D106" i="4"/>
  <c r="B106" i="4" s="1"/>
  <c r="M81" i="5"/>
  <c r="Z81" i="5" s="1"/>
  <c r="AM81" i="5" s="1"/>
  <c r="BA81" i="5" s="1"/>
  <c r="H81" i="5"/>
  <c r="U81" i="5" s="1"/>
  <c r="AH81" i="5" s="1"/>
  <c r="AV81" i="5" s="1"/>
  <c r="D81" i="5"/>
  <c r="Q81" i="5" s="1"/>
  <c r="AD81" i="5" s="1"/>
  <c r="AR81" i="5" s="1"/>
  <c r="C82" i="5"/>
  <c r="L81" i="5"/>
  <c r="Y81" i="5" s="1"/>
  <c r="AL81" i="5" s="1"/>
  <c r="AZ81" i="5" s="1"/>
  <c r="J81" i="5"/>
  <c r="W81" i="5" s="1"/>
  <c r="AJ81" i="5" s="1"/>
  <c r="AX81" i="5" s="1"/>
  <c r="I81" i="5"/>
  <c r="V81" i="5" s="1"/>
  <c r="AI81" i="5" s="1"/>
  <c r="AW81" i="5" s="1"/>
  <c r="BC81" i="5"/>
  <c r="E81" i="5"/>
  <c r="R81" i="5" s="1"/>
  <c r="AE81" i="5" s="1"/>
  <c r="AS81" i="5" s="1"/>
  <c r="G81" i="5"/>
  <c r="T81" i="5" s="1"/>
  <c r="AG81" i="5" s="1"/>
  <c r="AU81" i="5" s="1"/>
  <c r="K81" i="5"/>
  <c r="X81" i="5" s="1"/>
  <c r="AK81" i="5" s="1"/>
  <c r="AY81" i="5" s="1"/>
  <c r="F81" i="5"/>
  <c r="S81" i="5" s="1"/>
  <c r="AF81" i="5" s="1"/>
  <c r="AT81" i="5" s="1"/>
  <c r="I52" i="5"/>
  <c r="K52" i="5" s="1"/>
  <c r="M52" i="5" s="1"/>
  <c r="O52" i="5" s="1"/>
  <c r="P52" i="5" s="1"/>
  <c r="K51" i="5"/>
  <c r="M51" i="5" s="1"/>
  <c r="O51" i="5" s="1"/>
  <c r="P51" i="5" s="1"/>
  <c r="D107" i="4" l="1"/>
  <c r="B107" i="4" s="1"/>
  <c r="C106" i="4"/>
  <c r="J82" i="5"/>
  <c r="W82" i="5" s="1"/>
  <c r="AJ82" i="5" s="1"/>
  <c r="AX82" i="5" s="1"/>
  <c r="L82" i="5"/>
  <c r="Y82" i="5" s="1"/>
  <c r="AL82" i="5" s="1"/>
  <c r="AZ82" i="5" s="1"/>
  <c r="F82" i="5"/>
  <c r="S82" i="5" s="1"/>
  <c r="AF82" i="5" s="1"/>
  <c r="AT82" i="5" s="1"/>
  <c r="M82" i="5"/>
  <c r="Z82" i="5" s="1"/>
  <c r="AM82" i="5" s="1"/>
  <c r="BA82" i="5" s="1"/>
  <c r="H82" i="5"/>
  <c r="U82" i="5" s="1"/>
  <c r="AH82" i="5" s="1"/>
  <c r="AV82" i="5" s="1"/>
  <c r="K82" i="5"/>
  <c r="X82" i="5" s="1"/>
  <c r="AK82" i="5" s="1"/>
  <c r="AY82" i="5" s="1"/>
  <c r="C83" i="5"/>
  <c r="E82" i="5"/>
  <c r="R82" i="5" s="1"/>
  <c r="AE82" i="5" s="1"/>
  <c r="AS82" i="5" s="1"/>
  <c r="D82" i="5"/>
  <c r="Q82" i="5" s="1"/>
  <c r="AD82" i="5" s="1"/>
  <c r="AR82" i="5" s="1"/>
  <c r="I82" i="5"/>
  <c r="V82" i="5" s="1"/>
  <c r="AI82" i="5" s="1"/>
  <c r="AW82" i="5" s="1"/>
  <c r="BC82" i="5"/>
  <c r="G82" i="5"/>
  <c r="T82" i="5" s="1"/>
  <c r="AG82" i="5" s="1"/>
  <c r="AU82" i="5" s="1"/>
  <c r="D108" i="4" l="1"/>
  <c r="B108" i="4" s="1"/>
  <c r="C107" i="4"/>
  <c r="D83" i="5"/>
  <c r="Q83" i="5" s="1"/>
  <c r="AD83" i="5" s="1"/>
  <c r="AR83" i="5" s="1"/>
  <c r="E83" i="5"/>
  <c r="R83" i="5" s="1"/>
  <c r="AE83" i="5" s="1"/>
  <c r="AS83" i="5" s="1"/>
  <c r="H83" i="5"/>
  <c r="U83" i="5" s="1"/>
  <c r="AH83" i="5" s="1"/>
  <c r="AV83" i="5" s="1"/>
  <c r="BC83" i="5"/>
  <c r="I83" i="5"/>
  <c r="V83" i="5" s="1"/>
  <c r="AI83" i="5" s="1"/>
  <c r="AW83" i="5" s="1"/>
  <c r="G83" i="5"/>
  <c r="T83" i="5" s="1"/>
  <c r="AG83" i="5" s="1"/>
  <c r="AU83" i="5" s="1"/>
  <c r="M83" i="5"/>
  <c r="Z83" i="5" s="1"/>
  <c r="AM83" i="5" s="1"/>
  <c r="BA83" i="5" s="1"/>
  <c r="J83" i="5"/>
  <c r="W83" i="5" s="1"/>
  <c r="AJ83" i="5" s="1"/>
  <c r="AX83" i="5" s="1"/>
  <c r="K83" i="5"/>
  <c r="X83" i="5" s="1"/>
  <c r="AK83" i="5" s="1"/>
  <c r="AY83" i="5" s="1"/>
  <c r="C84" i="5"/>
  <c r="L83" i="5"/>
  <c r="Y83" i="5" s="1"/>
  <c r="AL83" i="5" s="1"/>
  <c r="AZ83" i="5" s="1"/>
  <c r="F83" i="5"/>
  <c r="S83" i="5" s="1"/>
  <c r="AF83" i="5" s="1"/>
  <c r="AT83" i="5" s="1"/>
  <c r="C108" i="4" l="1"/>
  <c r="I84" i="5"/>
  <c r="V84" i="5" s="1"/>
  <c r="AI84" i="5" s="1"/>
  <c r="AW84" i="5" s="1"/>
  <c r="D84" i="5"/>
  <c r="Q84" i="5" s="1"/>
  <c r="AD84" i="5" s="1"/>
  <c r="AR84" i="5" s="1"/>
  <c r="E84" i="5"/>
  <c r="R84" i="5" s="1"/>
  <c r="AE84" i="5" s="1"/>
  <c r="AS84" i="5" s="1"/>
  <c r="J84" i="5"/>
  <c r="W84" i="5" s="1"/>
  <c r="AJ84" i="5" s="1"/>
  <c r="AX84" i="5" s="1"/>
  <c r="L84" i="5"/>
  <c r="Y84" i="5" s="1"/>
  <c r="AL84" i="5" s="1"/>
  <c r="AZ84" i="5" s="1"/>
  <c r="H84" i="5"/>
  <c r="U84" i="5" s="1"/>
  <c r="AH84" i="5" s="1"/>
  <c r="AV84" i="5" s="1"/>
  <c r="F84" i="5"/>
  <c r="S84" i="5" s="1"/>
  <c r="AF84" i="5" s="1"/>
  <c r="AT84" i="5" s="1"/>
  <c r="C85" i="5"/>
  <c r="K84" i="5"/>
  <c r="X84" i="5" s="1"/>
  <c r="AK84" i="5" s="1"/>
  <c r="AY84" i="5" s="1"/>
  <c r="M84" i="5"/>
  <c r="Z84" i="5" s="1"/>
  <c r="AM84" i="5" s="1"/>
  <c r="BA84" i="5" s="1"/>
  <c r="BC84" i="5"/>
  <c r="G84" i="5"/>
  <c r="T84" i="5" s="1"/>
  <c r="AG84" i="5" s="1"/>
  <c r="AU84" i="5" s="1"/>
  <c r="D85" i="5" l="1"/>
  <c r="Q85" i="5" s="1"/>
  <c r="AD85" i="5" s="1"/>
  <c r="AR85" i="5" s="1"/>
  <c r="E85" i="5"/>
  <c r="R85" i="5" s="1"/>
  <c r="AE85" i="5" s="1"/>
  <c r="AS85" i="5" s="1"/>
  <c r="F85" i="5"/>
  <c r="S85" i="5" s="1"/>
  <c r="AF85" i="5" s="1"/>
  <c r="AT85" i="5" s="1"/>
  <c r="BC85" i="5"/>
  <c r="M85" i="5"/>
  <c r="Z85" i="5" s="1"/>
  <c r="AM85" i="5" s="1"/>
  <c r="BA85" i="5" s="1"/>
  <c r="H85" i="5"/>
  <c r="U85" i="5" s="1"/>
  <c r="AH85" i="5" s="1"/>
  <c r="AV85" i="5" s="1"/>
  <c r="L85" i="5"/>
  <c r="Y85" i="5" s="1"/>
  <c r="AL85" i="5" s="1"/>
  <c r="AZ85" i="5" s="1"/>
  <c r="J85" i="5"/>
  <c r="W85" i="5" s="1"/>
  <c r="AJ85" i="5" s="1"/>
  <c r="AX85" i="5" s="1"/>
  <c r="G85" i="5"/>
  <c r="T85" i="5" s="1"/>
  <c r="AG85" i="5" s="1"/>
  <c r="AU85" i="5" s="1"/>
  <c r="K85" i="5"/>
  <c r="X85" i="5" s="1"/>
  <c r="AK85" i="5" s="1"/>
  <c r="AY85" i="5" s="1"/>
  <c r="I85" i="5"/>
  <c r="V85" i="5" s="1"/>
  <c r="AI85" i="5" s="1"/>
  <c r="AW85" i="5" s="1"/>
  <c r="B22" i="2" l="1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R21" i="2" l="1"/>
  <c r="BR30" i="2" l="1"/>
  <c r="BR29" i="2"/>
  <c r="BR125" i="2"/>
  <c r="BR101" i="2"/>
  <c r="BR77" i="2"/>
  <c r="BR45" i="2"/>
  <c r="BR132" i="2"/>
  <c r="BR124" i="2"/>
  <c r="BR116" i="2"/>
  <c r="BR108" i="2"/>
  <c r="BR100" i="2"/>
  <c r="BR92" i="2"/>
  <c r="BR84" i="2"/>
  <c r="BR76" i="2"/>
  <c r="BR68" i="2"/>
  <c r="BR60" i="2"/>
  <c r="BR52" i="2"/>
  <c r="BR44" i="2"/>
  <c r="BR36" i="2"/>
  <c r="BR117" i="2"/>
  <c r="BR93" i="2"/>
  <c r="BR69" i="2"/>
  <c r="BR53" i="2"/>
  <c r="BR28" i="2"/>
  <c r="BR131" i="2"/>
  <c r="BR115" i="2"/>
  <c r="BR99" i="2"/>
  <c r="BR83" i="2"/>
  <c r="BR67" i="2"/>
  <c r="BR51" i="2"/>
  <c r="BR35" i="2"/>
  <c r="BR130" i="2"/>
  <c r="BR114" i="2"/>
  <c r="BR98" i="2"/>
  <c r="BR82" i="2"/>
  <c r="BR66" i="2"/>
  <c r="BR50" i="2"/>
  <c r="BR34" i="2"/>
  <c r="BR129" i="2"/>
  <c r="BR113" i="2"/>
  <c r="BR97" i="2"/>
  <c r="BR81" i="2"/>
  <c r="BR65" i="2"/>
  <c r="BR49" i="2"/>
  <c r="BR33" i="2"/>
  <c r="BR136" i="2"/>
  <c r="BR120" i="2"/>
  <c r="BR104" i="2"/>
  <c r="BR96" i="2"/>
  <c r="BR80" i="2"/>
  <c r="BR72" i="2"/>
  <c r="BR64" i="2"/>
  <c r="BR56" i="2"/>
  <c r="BR48" i="2"/>
  <c r="BR40" i="2"/>
  <c r="BR32" i="2"/>
  <c r="BR135" i="2"/>
  <c r="BR127" i="2"/>
  <c r="BR119" i="2"/>
  <c r="BR111" i="2"/>
  <c r="BR103" i="2"/>
  <c r="BR95" i="2"/>
  <c r="BR87" i="2"/>
  <c r="BR79" i="2"/>
  <c r="BR71" i="2"/>
  <c r="BR63" i="2"/>
  <c r="BR55" i="2"/>
  <c r="BR47" i="2"/>
  <c r="BR39" i="2"/>
  <c r="BR31" i="2"/>
  <c r="BR133" i="2"/>
  <c r="BR109" i="2"/>
  <c r="BR85" i="2"/>
  <c r="BR61" i="2"/>
  <c r="BR37" i="2"/>
  <c r="BR123" i="2"/>
  <c r="BR107" i="2"/>
  <c r="BR91" i="2"/>
  <c r="BR75" i="2"/>
  <c r="BR59" i="2"/>
  <c r="BR43" i="2"/>
  <c r="BR138" i="2"/>
  <c r="BR122" i="2"/>
  <c r="BR106" i="2"/>
  <c r="BR90" i="2"/>
  <c r="BR74" i="2"/>
  <c r="BR58" i="2"/>
  <c r="BR42" i="2"/>
  <c r="BR137" i="2"/>
  <c r="BR121" i="2"/>
  <c r="BR105" i="2"/>
  <c r="BR89" i="2"/>
  <c r="BR73" i="2"/>
  <c r="BR57" i="2"/>
  <c r="BR41" i="2"/>
  <c r="BR128" i="2"/>
  <c r="BR112" i="2"/>
  <c r="BR88" i="2"/>
  <c r="BR134" i="2"/>
  <c r="BR126" i="2"/>
  <c r="BR118" i="2"/>
  <c r="BR110" i="2"/>
  <c r="BR102" i="2"/>
  <c r="BR94" i="2"/>
  <c r="BR86" i="2"/>
  <c r="BR78" i="2"/>
  <c r="BR70" i="2"/>
  <c r="BR62" i="2"/>
  <c r="BR54" i="2"/>
  <c r="BR46" i="2"/>
  <c r="BR38" i="2"/>
  <c r="T133" i="2"/>
  <c r="AH133" i="2" s="1"/>
  <c r="AK133" i="2" s="1"/>
  <c r="U133" i="2"/>
  <c r="AI133" i="2" s="1"/>
  <c r="AL133" i="2" s="1"/>
  <c r="V133" i="2"/>
  <c r="AJ133" i="2" s="1"/>
  <c r="AM133" i="2" s="1"/>
  <c r="T134" i="2"/>
  <c r="AH134" i="2" s="1"/>
  <c r="AK134" i="2" s="1"/>
  <c r="U134" i="2"/>
  <c r="AI134" i="2" s="1"/>
  <c r="AL134" i="2" s="1"/>
  <c r="V134" i="2"/>
  <c r="AJ134" i="2" s="1"/>
  <c r="AM134" i="2" s="1"/>
  <c r="T135" i="2"/>
  <c r="AH135" i="2" s="1"/>
  <c r="AK135" i="2" s="1"/>
  <c r="U135" i="2"/>
  <c r="AI135" i="2" s="1"/>
  <c r="AL135" i="2" s="1"/>
  <c r="V135" i="2"/>
  <c r="AJ135" i="2" s="1"/>
  <c r="AM135" i="2" s="1"/>
  <c r="T136" i="2"/>
  <c r="AH136" i="2" s="1"/>
  <c r="AK136" i="2" s="1"/>
  <c r="U136" i="2"/>
  <c r="AI136" i="2" s="1"/>
  <c r="AL136" i="2" s="1"/>
  <c r="V136" i="2"/>
  <c r="AJ136" i="2" s="1"/>
  <c r="AM136" i="2" s="1"/>
  <c r="T137" i="2"/>
  <c r="AH137" i="2" s="1"/>
  <c r="AK137" i="2" s="1"/>
  <c r="U137" i="2"/>
  <c r="AI137" i="2" s="1"/>
  <c r="AL137" i="2" s="1"/>
  <c r="V137" i="2"/>
  <c r="AJ137" i="2" s="1"/>
  <c r="AM137" i="2" s="1"/>
  <c r="T138" i="2"/>
  <c r="AH138" i="2" s="1"/>
  <c r="AK138" i="2" s="1"/>
  <c r="U138" i="2"/>
  <c r="AI138" i="2" s="1"/>
  <c r="AL138" i="2" s="1"/>
  <c r="V138" i="2"/>
  <c r="AJ138" i="2" s="1"/>
  <c r="AM138" i="2" s="1"/>
  <c r="T139" i="2"/>
  <c r="AH139" i="2" s="1"/>
  <c r="AK139" i="2" s="1"/>
  <c r="U139" i="2"/>
  <c r="AI139" i="2" s="1"/>
  <c r="AL139" i="2" s="1"/>
  <c r="V139" i="2"/>
  <c r="AJ139" i="2" s="1"/>
  <c r="AM139" i="2" s="1"/>
  <c r="T140" i="2"/>
  <c r="AH140" i="2" s="1"/>
  <c r="AK140" i="2" s="1"/>
  <c r="U140" i="2"/>
  <c r="AI140" i="2" s="1"/>
  <c r="AL140" i="2" s="1"/>
  <c r="V140" i="2"/>
  <c r="AJ140" i="2" s="1"/>
  <c r="AM140" i="2" s="1"/>
  <c r="T141" i="2"/>
  <c r="AH141" i="2" s="1"/>
  <c r="AK141" i="2" s="1"/>
  <c r="U141" i="2"/>
  <c r="AI141" i="2" s="1"/>
  <c r="AL141" i="2" s="1"/>
  <c r="V141" i="2"/>
  <c r="AJ141" i="2" s="1"/>
  <c r="AM141" i="2" s="1"/>
  <c r="T142" i="2"/>
  <c r="AH142" i="2" s="1"/>
  <c r="AK142" i="2" s="1"/>
  <c r="U142" i="2"/>
  <c r="AI142" i="2" s="1"/>
  <c r="AL142" i="2" s="1"/>
  <c r="V142" i="2"/>
  <c r="AJ142" i="2" s="1"/>
  <c r="AM142" i="2" s="1"/>
  <c r="T143" i="2"/>
  <c r="AH143" i="2" s="1"/>
  <c r="AK143" i="2" s="1"/>
  <c r="U143" i="2"/>
  <c r="AI143" i="2" s="1"/>
  <c r="AL143" i="2" s="1"/>
  <c r="V143" i="2"/>
  <c r="AJ143" i="2" s="1"/>
  <c r="AM143" i="2" s="1"/>
  <c r="T144" i="2"/>
  <c r="AH144" i="2" s="1"/>
  <c r="AK144" i="2" s="1"/>
  <c r="U144" i="2"/>
  <c r="AI144" i="2" s="1"/>
  <c r="AL144" i="2" s="1"/>
  <c r="V144" i="2"/>
  <c r="AJ144" i="2" s="1"/>
  <c r="AM144" i="2" s="1"/>
  <c r="T145" i="2"/>
  <c r="AH145" i="2" s="1"/>
  <c r="AK145" i="2" s="1"/>
  <c r="U145" i="2"/>
  <c r="AI145" i="2" s="1"/>
  <c r="AL145" i="2" s="1"/>
  <c r="V145" i="2"/>
  <c r="AJ145" i="2" s="1"/>
  <c r="AM145" i="2" s="1"/>
  <c r="T146" i="2"/>
  <c r="AH146" i="2" s="1"/>
  <c r="AK146" i="2" s="1"/>
  <c r="U146" i="2"/>
  <c r="AI146" i="2" s="1"/>
  <c r="AL146" i="2" s="1"/>
  <c r="V146" i="2"/>
  <c r="AJ146" i="2" s="1"/>
  <c r="AM146" i="2" s="1"/>
  <c r="T147" i="2"/>
  <c r="AH147" i="2" s="1"/>
  <c r="AK147" i="2" s="1"/>
  <c r="U147" i="2"/>
  <c r="AI147" i="2" s="1"/>
  <c r="AL147" i="2" s="1"/>
  <c r="V147" i="2"/>
  <c r="AJ147" i="2" s="1"/>
  <c r="AM147" i="2" s="1"/>
  <c r="T148" i="2"/>
  <c r="AH148" i="2" s="1"/>
  <c r="AK148" i="2" s="1"/>
  <c r="U148" i="2"/>
  <c r="AI148" i="2" s="1"/>
  <c r="AL148" i="2" s="1"/>
  <c r="V148" i="2"/>
  <c r="AJ148" i="2" s="1"/>
  <c r="AM148" i="2" s="1"/>
  <c r="T149" i="2"/>
  <c r="AH149" i="2" s="1"/>
  <c r="AK149" i="2" s="1"/>
  <c r="U149" i="2"/>
  <c r="AI149" i="2" s="1"/>
  <c r="AL149" i="2" s="1"/>
  <c r="V149" i="2"/>
  <c r="AJ149" i="2" s="1"/>
  <c r="AM149" i="2" s="1"/>
  <c r="T150" i="2"/>
  <c r="AH150" i="2" s="1"/>
  <c r="AK150" i="2" s="1"/>
  <c r="U150" i="2"/>
  <c r="AI150" i="2" s="1"/>
  <c r="AL150" i="2" s="1"/>
  <c r="V150" i="2"/>
  <c r="AJ150" i="2" s="1"/>
  <c r="AM150" i="2" s="1"/>
  <c r="T151" i="2"/>
  <c r="AH151" i="2" s="1"/>
  <c r="AK151" i="2" s="1"/>
  <c r="U151" i="2"/>
  <c r="AI151" i="2" s="1"/>
  <c r="AL151" i="2" s="1"/>
  <c r="V151" i="2"/>
  <c r="AJ151" i="2" s="1"/>
  <c r="AM151" i="2" s="1"/>
  <c r="T152" i="2"/>
  <c r="AH152" i="2" s="1"/>
  <c r="AK152" i="2" s="1"/>
  <c r="U152" i="2"/>
  <c r="AI152" i="2" s="1"/>
  <c r="AL152" i="2" s="1"/>
  <c r="V152" i="2"/>
  <c r="AJ152" i="2" s="1"/>
  <c r="AM152" i="2" s="1"/>
  <c r="T153" i="2"/>
  <c r="AH153" i="2" s="1"/>
  <c r="AK153" i="2" s="1"/>
  <c r="U153" i="2"/>
  <c r="AI153" i="2" s="1"/>
  <c r="AL153" i="2" s="1"/>
  <c r="V153" i="2"/>
  <c r="AJ153" i="2" s="1"/>
  <c r="AM153" i="2" s="1"/>
  <c r="T154" i="2"/>
  <c r="AH154" i="2" s="1"/>
  <c r="AK154" i="2" s="1"/>
  <c r="U154" i="2"/>
  <c r="AI154" i="2" s="1"/>
  <c r="AL154" i="2" s="1"/>
  <c r="V154" i="2"/>
  <c r="AJ154" i="2" s="1"/>
  <c r="AM154" i="2" s="1"/>
  <c r="T155" i="2"/>
  <c r="AH155" i="2" s="1"/>
  <c r="AK155" i="2" s="1"/>
  <c r="U155" i="2"/>
  <c r="AI155" i="2" s="1"/>
  <c r="AL155" i="2" s="1"/>
  <c r="V155" i="2"/>
  <c r="AJ155" i="2" s="1"/>
  <c r="AM155" i="2" s="1"/>
  <c r="T156" i="2"/>
  <c r="AH156" i="2" s="1"/>
  <c r="AK156" i="2" s="1"/>
  <c r="U156" i="2"/>
  <c r="AI156" i="2" s="1"/>
  <c r="AL156" i="2" s="1"/>
  <c r="V156" i="2"/>
  <c r="AJ156" i="2" s="1"/>
  <c r="AM156" i="2" s="1"/>
  <c r="T157" i="2"/>
  <c r="AH157" i="2" s="1"/>
  <c r="AK157" i="2" s="1"/>
  <c r="U157" i="2"/>
  <c r="AI157" i="2" s="1"/>
  <c r="AL157" i="2" s="1"/>
  <c r="V157" i="2"/>
  <c r="AJ157" i="2" s="1"/>
  <c r="AM157" i="2" s="1"/>
  <c r="T158" i="2"/>
  <c r="AH158" i="2" s="1"/>
  <c r="AK158" i="2" s="1"/>
  <c r="U158" i="2"/>
  <c r="AI158" i="2" s="1"/>
  <c r="AL158" i="2" s="1"/>
  <c r="V158" i="2"/>
  <c r="AJ158" i="2" s="1"/>
  <c r="AM158" i="2" s="1"/>
  <c r="T159" i="2"/>
  <c r="AH159" i="2" s="1"/>
  <c r="AK159" i="2" s="1"/>
  <c r="U159" i="2"/>
  <c r="AI159" i="2" s="1"/>
  <c r="AL159" i="2" s="1"/>
  <c r="V159" i="2"/>
  <c r="AJ159" i="2" s="1"/>
  <c r="AM159" i="2" s="1"/>
  <c r="BV29" i="2" l="1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28" i="2"/>
  <c r="T80" i="2" l="1"/>
  <c r="AH80" i="2" s="1"/>
  <c r="AK80" i="2" s="1"/>
  <c r="V80" i="2"/>
  <c r="AJ80" i="2" s="1"/>
  <c r="AM80" i="2" s="1"/>
  <c r="U80" i="2"/>
  <c r="AI80" i="2" s="1"/>
  <c r="AL80" i="2" s="1"/>
  <c r="T48" i="2"/>
  <c r="AH48" i="2" s="1"/>
  <c r="AK48" i="2" s="1"/>
  <c r="V48" i="2"/>
  <c r="AJ48" i="2" s="1"/>
  <c r="AM48" i="2" s="1"/>
  <c r="U48" i="2"/>
  <c r="AI48" i="2" s="1"/>
  <c r="AL48" i="2" s="1"/>
  <c r="S28" i="2"/>
  <c r="AF28" i="2" s="1"/>
  <c r="V28" i="2"/>
  <c r="AJ28" i="2" s="1"/>
  <c r="AM28" i="2" s="1"/>
  <c r="U28" i="2"/>
  <c r="AI28" i="2" s="1"/>
  <c r="AL28" i="2" s="1"/>
  <c r="T28" i="2"/>
  <c r="AH28" i="2" s="1"/>
  <c r="AK28" i="2" s="1"/>
  <c r="U79" i="2"/>
  <c r="AI79" i="2" s="1"/>
  <c r="AL79" i="2" s="1"/>
  <c r="V79" i="2"/>
  <c r="AJ79" i="2" s="1"/>
  <c r="AM79" i="2" s="1"/>
  <c r="T79" i="2"/>
  <c r="AH79" i="2" s="1"/>
  <c r="AK79" i="2" s="1"/>
  <c r="U71" i="2"/>
  <c r="AI71" i="2" s="1"/>
  <c r="AL71" i="2" s="1"/>
  <c r="V71" i="2"/>
  <c r="AJ71" i="2" s="1"/>
  <c r="AM71" i="2" s="1"/>
  <c r="T71" i="2"/>
  <c r="AH71" i="2" s="1"/>
  <c r="AK71" i="2" s="1"/>
  <c r="U63" i="2"/>
  <c r="AI63" i="2" s="1"/>
  <c r="AL63" i="2" s="1"/>
  <c r="V63" i="2"/>
  <c r="AJ63" i="2" s="1"/>
  <c r="AM63" i="2" s="1"/>
  <c r="T63" i="2"/>
  <c r="AH63" i="2" s="1"/>
  <c r="AK63" i="2" s="1"/>
  <c r="U55" i="2"/>
  <c r="AI55" i="2" s="1"/>
  <c r="AL55" i="2" s="1"/>
  <c r="V55" i="2"/>
  <c r="AJ55" i="2" s="1"/>
  <c r="AM55" i="2" s="1"/>
  <c r="T55" i="2"/>
  <c r="AH55" i="2" s="1"/>
  <c r="AK55" i="2" s="1"/>
  <c r="U47" i="2"/>
  <c r="AI47" i="2" s="1"/>
  <c r="AL47" i="2" s="1"/>
  <c r="V47" i="2"/>
  <c r="AJ47" i="2" s="1"/>
  <c r="AM47" i="2" s="1"/>
  <c r="T47" i="2"/>
  <c r="AH47" i="2" s="1"/>
  <c r="AK47" i="2" s="1"/>
  <c r="U39" i="2"/>
  <c r="AI39" i="2" s="1"/>
  <c r="AL39" i="2" s="1"/>
  <c r="V39" i="2"/>
  <c r="AJ39" i="2" s="1"/>
  <c r="AM39" i="2" s="1"/>
  <c r="T39" i="2"/>
  <c r="AH39" i="2" s="1"/>
  <c r="AK39" i="2" s="1"/>
  <c r="T78" i="2"/>
  <c r="AH78" i="2" s="1"/>
  <c r="AK78" i="2" s="1"/>
  <c r="U78" i="2"/>
  <c r="AI78" i="2" s="1"/>
  <c r="AL78" i="2" s="1"/>
  <c r="V78" i="2"/>
  <c r="AJ78" i="2" s="1"/>
  <c r="AM78" i="2" s="1"/>
  <c r="T70" i="2"/>
  <c r="AH70" i="2" s="1"/>
  <c r="AK70" i="2" s="1"/>
  <c r="V70" i="2"/>
  <c r="AJ70" i="2" s="1"/>
  <c r="AM70" i="2" s="1"/>
  <c r="U70" i="2"/>
  <c r="AI70" i="2" s="1"/>
  <c r="AL70" i="2" s="1"/>
  <c r="V62" i="2"/>
  <c r="AJ62" i="2" s="1"/>
  <c r="AM62" i="2" s="1"/>
  <c r="T62" i="2"/>
  <c r="AH62" i="2" s="1"/>
  <c r="AK62" i="2" s="1"/>
  <c r="U62" i="2"/>
  <c r="AI62" i="2" s="1"/>
  <c r="AL62" i="2" s="1"/>
  <c r="V54" i="2"/>
  <c r="AJ54" i="2" s="1"/>
  <c r="AM54" i="2" s="1"/>
  <c r="U54" i="2"/>
  <c r="AI54" i="2" s="1"/>
  <c r="AL54" i="2" s="1"/>
  <c r="T54" i="2"/>
  <c r="AH54" i="2" s="1"/>
  <c r="AK54" i="2" s="1"/>
  <c r="U46" i="2"/>
  <c r="AI46" i="2" s="1"/>
  <c r="AL46" i="2" s="1"/>
  <c r="V46" i="2"/>
  <c r="AJ46" i="2" s="1"/>
  <c r="AM46" i="2" s="1"/>
  <c r="T46" i="2"/>
  <c r="AH46" i="2" s="1"/>
  <c r="AK46" i="2" s="1"/>
  <c r="T38" i="2"/>
  <c r="AH38" i="2" s="1"/>
  <c r="AK38" i="2" s="1"/>
  <c r="U38" i="2"/>
  <c r="AI38" i="2" s="1"/>
  <c r="AL38" i="2" s="1"/>
  <c r="V38" i="2"/>
  <c r="AJ38" i="2" s="1"/>
  <c r="AM38" i="2" s="1"/>
  <c r="T72" i="2"/>
  <c r="AH72" i="2" s="1"/>
  <c r="AK72" i="2" s="1"/>
  <c r="U72" i="2"/>
  <c r="AI72" i="2" s="1"/>
  <c r="AL72" i="2" s="1"/>
  <c r="V72" i="2"/>
  <c r="AJ72" i="2" s="1"/>
  <c r="AM72" i="2" s="1"/>
  <c r="T40" i="2"/>
  <c r="AH40" i="2" s="1"/>
  <c r="AK40" i="2" s="1"/>
  <c r="U40" i="2"/>
  <c r="AI40" i="2" s="1"/>
  <c r="AL40" i="2" s="1"/>
  <c r="V40" i="2"/>
  <c r="AJ40" i="2" s="1"/>
  <c r="AM40" i="2" s="1"/>
  <c r="U61" i="2"/>
  <c r="AI61" i="2" s="1"/>
  <c r="AL61" i="2" s="1"/>
  <c r="T61" i="2"/>
  <c r="AH61" i="2" s="1"/>
  <c r="AK61" i="2" s="1"/>
  <c r="V61" i="2"/>
  <c r="AJ61" i="2" s="1"/>
  <c r="AM61" i="2" s="1"/>
  <c r="U45" i="2"/>
  <c r="AI45" i="2" s="1"/>
  <c r="AL45" i="2" s="1"/>
  <c r="T45" i="2"/>
  <c r="AH45" i="2" s="1"/>
  <c r="AK45" i="2" s="1"/>
  <c r="V45" i="2"/>
  <c r="AJ45" i="2" s="1"/>
  <c r="AM45" i="2" s="1"/>
  <c r="T132" i="2"/>
  <c r="AH132" i="2" s="1"/>
  <c r="AK132" i="2" s="1"/>
  <c r="U132" i="2"/>
  <c r="AI132" i="2" s="1"/>
  <c r="AL132" i="2" s="1"/>
  <c r="V132" i="2"/>
  <c r="AJ132" i="2" s="1"/>
  <c r="AM132" i="2" s="1"/>
  <c r="V76" i="2"/>
  <c r="AJ76" i="2" s="1"/>
  <c r="AM76" i="2" s="1"/>
  <c r="T76" i="2"/>
  <c r="AH76" i="2" s="1"/>
  <c r="AK76" i="2" s="1"/>
  <c r="U76" i="2"/>
  <c r="AI76" i="2" s="1"/>
  <c r="AL76" i="2" s="1"/>
  <c r="V36" i="2"/>
  <c r="AJ36" i="2" s="1"/>
  <c r="AM36" i="2" s="1"/>
  <c r="T36" i="2"/>
  <c r="AH36" i="2" s="1"/>
  <c r="AK36" i="2" s="1"/>
  <c r="U36" i="2"/>
  <c r="AI36" i="2" s="1"/>
  <c r="AL36" i="2" s="1"/>
  <c r="V131" i="2"/>
  <c r="AJ131" i="2" s="1"/>
  <c r="AM131" i="2" s="1"/>
  <c r="U131" i="2"/>
  <c r="AI131" i="2" s="1"/>
  <c r="AL131" i="2" s="1"/>
  <c r="T131" i="2"/>
  <c r="AH131" i="2" s="1"/>
  <c r="AK131" i="2" s="1"/>
  <c r="U75" i="2"/>
  <c r="AI75" i="2" s="1"/>
  <c r="AL75" i="2" s="1"/>
  <c r="T75" i="2"/>
  <c r="AH75" i="2" s="1"/>
  <c r="AK75" i="2" s="1"/>
  <c r="V75" i="2"/>
  <c r="AJ75" i="2" s="1"/>
  <c r="AM75" i="2" s="1"/>
  <c r="V67" i="2"/>
  <c r="AJ67" i="2" s="1"/>
  <c r="AM67" i="2" s="1"/>
  <c r="T67" i="2"/>
  <c r="AH67" i="2" s="1"/>
  <c r="AK67" i="2" s="1"/>
  <c r="U67" i="2"/>
  <c r="AI67" i="2" s="1"/>
  <c r="AL67" i="2" s="1"/>
  <c r="U59" i="2"/>
  <c r="AI59" i="2" s="1"/>
  <c r="AL59" i="2" s="1"/>
  <c r="V59" i="2"/>
  <c r="AJ59" i="2" s="1"/>
  <c r="AM59" i="2" s="1"/>
  <c r="T59" i="2"/>
  <c r="AH59" i="2" s="1"/>
  <c r="AK59" i="2" s="1"/>
  <c r="T51" i="2"/>
  <c r="AH51" i="2" s="1"/>
  <c r="AK51" i="2" s="1"/>
  <c r="U51" i="2"/>
  <c r="AI51" i="2" s="1"/>
  <c r="AL51" i="2" s="1"/>
  <c r="V51" i="2"/>
  <c r="AJ51" i="2" s="1"/>
  <c r="AM51" i="2" s="1"/>
  <c r="T43" i="2"/>
  <c r="AH43" i="2" s="1"/>
  <c r="AK43" i="2" s="1"/>
  <c r="U43" i="2"/>
  <c r="AI43" i="2" s="1"/>
  <c r="AL43" i="2" s="1"/>
  <c r="V43" i="2"/>
  <c r="AJ43" i="2" s="1"/>
  <c r="AM43" i="2" s="1"/>
  <c r="T35" i="2"/>
  <c r="AH35" i="2" s="1"/>
  <c r="AK35" i="2" s="1"/>
  <c r="V35" i="2"/>
  <c r="AJ35" i="2" s="1"/>
  <c r="AM35" i="2" s="1"/>
  <c r="U35" i="2"/>
  <c r="AI35" i="2" s="1"/>
  <c r="AL35" i="2" s="1"/>
  <c r="T64" i="2"/>
  <c r="AH64" i="2" s="1"/>
  <c r="AK64" i="2" s="1"/>
  <c r="U64" i="2"/>
  <c r="AI64" i="2" s="1"/>
  <c r="AL64" i="2" s="1"/>
  <c r="V64" i="2"/>
  <c r="AJ64" i="2" s="1"/>
  <c r="AM64" i="2" s="1"/>
  <c r="T69" i="2"/>
  <c r="AH69" i="2" s="1"/>
  <c r="AK69" i="2" s="1"/>
  <c r="U69" i="2"/>
  <c r="AI69" i="2" s="1"/>
  <c r="AL69" i="2" s="1"/>
  <c r="V69" i="2"/>
  <c r="AJ69" i="2" s="1"/>
  <c r="AM69" i="2" s="1"/>
  <c r="T37" i="2"/>
  <c r="AH37" i="2" s="1"/>
  <c r="AK37" i="2" s="1"/>
  <c r="U37" i="2"/>
  <c r="AI37" i="2" s="1"/>
  <c r="AL37" i="2" s="1"/>
  <c r="V37" i="2"/>
  <c r="AJ37" i="2" s="1"/>
  <c r="AM37" i="2" s="1"/>
  <c r="V60" i="2"/>
  <c r="AJ60" i="2" s="1"/>
  <c r="AM60" i="2" s="1"/>
  <c r="T60" i="2"/>
  <c r="AH60" i="2" s="1"/>
  <c r="AK60" i="2" s="1"/>
  <c r="U60" i="2"/>
  <c r="AI60" i="2" s="1"/>
  <c r="AL60" i="2" s="1"/>
  <c r="V44" i="2"/>
  <c r="AJ44" i="2" s="1"/>
  <c r="AM44" i="2" s="1"/>
  <c r="U44" i="2"/>
  <c r="AI44" i="2" s="1"/>
  <c r="AL44" i="2" s="1"/>
  <c r="T44" i="2"/>
  <c r="AH44" i="2" s="1"/>
  <c r="AK44" i="2" s="1"/>
  <c r="U31" i="2"/>
  <c r="AI31" i="2" s="1"/>
  <c r="AL31" i="2" s="1"/>
  <c r="V31" i="2"/>
  <c r="AJ31" i="2" s="1"/>
  <c r="AM31" i="2" s="1"/>
  <c r="T31" i="2"/>
  <c r="AH31" i="2" s="1"/>
  <c r="AK31" i="2" s="1"/>
  <c r="V130" i="2"/>
  <c r="AJ130" i="2" s="1"/>
  <c r="AM130" i="2" s="1"/>
  <c r="T130" i="2"/>
  <c r="AH130" i="2" s="1"/>
  <c r="AK130" i="2" s="1"/>
  <c r="U130" i="2"/>
  <c r="AI130" i="2" s="1"/>
  <c r="AL130" i="2" s="1"/>
  <c r="L82" i="2"/>
  <c r="T82" i="2"/>
  <c r="AH82" i="2" s="1"/>
  <c r="AK82" i="2" s="1"/>
  <c r="U82" i="2"/>
  <c r="AI82" i="2" s="1"/>
  <c r="AL82" i="2" s="1"/>
  <c r="V82" i="2"/>
  <c r="AJ82" i="2" s="1"/>
  <c r="AM82" i="2" s="1"/>
  <c r="T74" i="2"/>
  <c r="AH74" i="2" s="1"/>
  <c r="AK74" i="2" s="1"/>
  <c r="U74" i="2"/>
  <c r="AI74" i="2" s="1"/>
  <c r="AL74" i="2" s="1"/>
  <c r="V74" i="2"/>
  <c r="AJ74" i="2" s="1"/>
  <c r="AM74" i="2" s="1"/>
  <c r="T66" i="2"/>
  <c r="AH66" i="2" s="1"/>
  <c r="AK66" i="2" s="1"/>
  <c r="V66" i="2"/>
  <c r="AJ66" i="2" s="1"/>
  <c r="AM66" i="2" s="1"/>
  <c r="U66" i="2"/>
  <c r="AI66" i="2" s="1"/>
  <c r="AL66" i="2" s="1"/>
  <c r="T58" i="2"/>
  <c r="AH58" i="2" s="1"/>
  <c r="AK58" i="2" s="1"/>
  <c r="U58" i="2"/>
  <c r="AI58" i="2" s="1"/>
  <c r="AL58" i="2" s="1"/>
  <c r="V58" i="2"/>
  <c r="AJ58" i="2" s="1"/>
  <c r="AM58" i="2" s="1"/>
  <c r="T50" i="2"/>
  <c r="AH50" i="2" s="1"/>
  <c r="AK50" i="2" s="1"/>
  <c r="V50" i="2"/>
  <c r="AJ50" i="2" s="1"/>
  <c r="AM50" i="2" s="1"/>
  <c r="U50" i="2"/>
  <c r="AI50" i="2" s="1"/>
  <c r="AL50" i="2" s="1"/>
  <c r="T42" i="2"/>
  <c r="AH42" i="2" s="1"/>
  <c r="AK42" i="2" s="1"/>
  <c r="U42" i="2"/>
  <c r="AI42" i="2" s="1"/>
  <c r="AL42" i="2" s="1"/>
  <c r="V42" i="2"/>
  <c r="AJ42" i="2" s="1"/>
  <c r="AM42" i="2" s="1"/>
  <c r="T34" i="2"/>
  <c r="AH34" i="2" s="1"/>
  <c r="AK34" i="2" s="1"/>
  <c r="V34" i="2"/>
  <c r="AJ34" i="2" s="1"/>
  <c r="AM34" i="2" s="1"/>
  <c r="U34" i="2"/>
  <c r="AI34" i="2" s="1"/>
  <c r="AL34" i="2" s="1"/>
  <c r="U29" i="2"/>
  <c r="AI29" i="2" s="1"/>
  <c r="AL29" i="2" s="1"/>
  <c r="V29" i="2"/>
  <c r="AJ29" i="2" s="1"/>
  <c r="AM29" i="2" s="1"/>
  <c r="T29" i="2"/>
  <c r="AH29" i="2" s="1"/>
  <c r="AK29" i="2" s="1"/>
  <c r="T56" i="2"/>
  <c r="AH56" i="2" s="1"/>
  <c r="AK56" i="2" s="1"/>
  <c r="V56" i="2"/>
  <c r="AJ56" i="2" s="1"/>
  <c r="AM56" i="2" s="1"/>
  <c r="U56" i="2"/>
  <c r="AI56" i="2" s="1"/>
  <c r="AL56" i="2" s="1"/>
  <c r="T77" i="2"/>
  <c r="AH77" i="2" s="1"/>
  <c r="AK77" i="2" s="1"/>
  <c r="U77" i="2"/>
  <c r="AI77" i="2" s="1"/>
  <c r="AL77" i="2" s="1"/>
  <c r="V77" i="2"/>
  <c r="AJ77" i="2" s="1"/>
  <c r="AM77" i="2" s="1"/>
  <c r="T53" i="2"/>
  <c r="AH53" i="2" s="1"/>
  <c r="AK53" i="2" s="1"/>
  <c r="U53" i="2"/>
  <c r="AI53" i="2" s="1"/>
  <c r="AL53" i="2" s="1"/>
  <c r="V53" i="2"/>
  <c r="AJ53" i="2" s="1"/>
  <c r="AM53" i="2" s="1"/>
  <c r="V68" i="2"/>
  <c r="AJ68" i="2" s="1"/>
  <c r="AM68" i="2" s="1"/>
  <c r="T68" i="2"/>
  <c r="AH68" i="2" s="1"/>
  <c r="AK68" i="2" s="1"/>
  <c r="U68" i="2"/>
  <c r="AI68" i="2" s="1"/>
  <c r="AL68" i="2" s="1"/>
  <c r="V52" i="2"/>
  <c r="AJ52" i="2" s="1"/>
  <c r="AM52" i="2" s="1"/>
  <c r="T52" i="2"/>
  <c r="AH52" i="2" s="1"/>
  <c r="AK52" i="2" s="1"/>
  <c r="U52" i="2"/>
  <c r="AI52" i="2" s="1"/>
  <c r="AL52" i="2" s="1"/>
  <c r="U30" i="2"/>
  <c r="AI30" i="2" s="1"/>
  <c r="AL30" i="2" s="1"/>
  <c r="V30" i="2"/>
  <c r="AJ30" i="2" s="1"/>
  <c r="AM30" i="2" s="1"/>
  <c r="T30" i="2"/>
  <c r="AH30" i="2" s="1"/>
  <c r="AK30" i="2" s="1"/>
  <c r="T81" i="2"/>
  <c r="AH81" i="2" s="1"/>
  <c r="AK81" i="2" s="1"/>
  <c r="V81" i="2"/>
  <c r="AJ81" i="2" s="1"/>
  <c r="AM81" i="2" s="1"/>
  <c r="U81" i="2"/>
  <c r="AI81" i="2" s="1"/>
  <c r="AL81" i="2" s="1"/>
  <c r="V73" i="2"/>
  <c r="AJ73" i="2" s="1"/>
  <c r="AM73" i="2" s="1"/>
  <c r="T73" i="2"/>
  <c r="AH73" i="2" s="1"/>
  <c r="AK73" i="2" s="1"/>
  <c r="U73" i="2"/>
  <c r="AI73" i="2" s="1"/>
  <c r="AL73" i="2" s="1"/>
  <c r="T65" i="2"/>
  <c r="AH65" i="2" s="1"/>
  <c r="AK65" i="2" s="1"/>
  <c r="U65" i="2"/>
  <c r="AI65" i="2" s="1"/>
  <c r="AL65" i="2" s="1"/>
  <c r="V65" i="2"/>
  <c r="AJ65" i="2" s="1"/>
  <c r="AM65" i="2" s="1"/>
  <c r="V57" i="2"/>
  <c r="AJ57" i="2" s="1"/>
  <c r="AM57" i="2" s="1"/>
  <c r="T57" i="2"/>
  <c r="AH57" i="2" s="1"/>
  <c r="AK57" i="2" s="1"/>
  <c r="U57" i="2"/>
  <c r="AI57" i="2" s="1"/>
  <c r="AL57" i="2" s="1"/>
  <c r="T49" i="2"/>
  <c r="AH49" i="2" s="1"/>
  <c r="AK49" i="2" s="1"/>
  <c r="U49" i="2"/>
  <c r="AI49" i="2" s="1"/>
  <c r="AL49" i="2" s="1"/>
  <c r="V49" i="2"/>
  <c r="AJ49" i="2" s="1"/>
  <c r="AM49" i="2" s="1"/>
  <c r="T41" i="2"/>
  <c r="AH41" i="2" s="1"/>
  <c r="AK41" i="2" s="1"/>
  <c r="U41" i="2"/>
  <c r="AI41" i="2" s="1"/>
  <c r="AL41" i="2" s="1"/>
  <c r="V41" i="2"/>
  <c r="AJ41" i="2" s="1"/>
  <c r="AM41" i="2" s="1"/>
  <c r="V33" i="2"/>
  <c r="AJ33" i="2" s="1"/>
  <c r="AM33" i="2" s="1"/>
  <c r="T33" i="2"/>
  <c r="AH33" i="2" s="1"/>
  <c r="AK33" i="2" s="1"/>
  <c r="U33" i="2"/>
  <c r="AI33" i="2" s="1"/>
  <c r="AL33" i="2" s="1"/>
  <c r="T32" i="2"/>
  <c r="AH32" i="2" s="1"/>
  <c r="AK32" i="2" s="1"/>
  <c r="U32" i="2"/>
  <c r="AI32" i="2" s="1"/>
  <c r="AL32" i="2" s="1"/>
  <c r="V32" i="2"/>
  <c r="AJ32" i="2" s="1"/>
  <c r="AM32" i="2" s="1"/>
  <c r="U104" i="2"/>
  <c r="AI104" i="2" s="1"/>
  <c r="AL104" i="2" s="1"/>
  <c r="V104" i="2"/>
  <c r="AJ104" i="2" s="1"/>
  <c r="AM104" i="2" s="1"/>
  <c r="T104" i="2"/>
  <c r="AH104" i="2" s="1"/>
  <c r="AK104" i="2" s="1"/>
  <c r="T119" i="2"/>
  <c r="AH119" i="2" s="1"/>
  <c r="AK119" i="2" s="1"/>
  <c r="U119" i="2"/>
  <c r="AI119" i="2" s="1"/>
  <c r="AL119" i="2" s="1"/>
  <c r="V119" i="2"/>
  <c r="AJ119" i="2" s="1"/>
  <c r="AM119" i="2" s="1"/>
  <c r="T94" i="2"/>
  <c r="AH94" i="2" s="1"/>
  <c r="AK94" i="2" s="1"/>
  <c r="V94" i="2"/>
  <c r="AJ94" i="2" s="1"/>
  <c r="AM94" i="2" s="1"/>
  <c r="U94" i="2"/>
  <c r="AI94" i="2" s="1"/>
  <c r="AL94" i="2" s="1"/>
  <c r="V86" i="2"/>
  <c r="AJ86" i="2" s="1"/>
  <c r="AM86" i="2" s="1"/>
  <c r="T86" i="2"/>
  <c r="AH86" i="2" s="1"/>
  <c r="AK86" i="2" s="1"/>
  <c r="U86" i="2"/>
  <c r="AI86" i="2" s="1"/>
  <c r="AL86" i="2" s="1"/>
  <c r="U128" i="2"/>
  <c r="AI128" i="2" s="1"/>
  <c r="AL128" i="2" s="1"/>
  <c r="V128" i="2"/>
  <c r="AJ128" i="2" s="1"/>
  <c r="AM128" i="2" s="1"/>
  <c r="T128" i="2"/>
  <c r="AH128" i="2" s="1"/>
  <c r="AK128" i="2" s="1"/>
  <c r="U112" i="2"/>
  <c r="AI112" i="2" s="1"/>
  <c r="AL112" i="2" s="1"/>
  <c r="V112" i="2"/>
  <c r="AJ112" i="2" s="1"/>
  <c r="AM112" i="2" s="1"/>
  <c r="T112" i="2"/>
  <c r="AH112" i="2" s="1"/>
  <c r="AK112" i="2" s="1"/>
  <c r="T127" i="2"/>
  <c r="AH127" i="2" s="1"/>
  <c r="AK127" i="2" s="1"/>
  <c r="U127" i="2"/>
  <c r="AI127" i="2" s="1"/>
  <c r="AL127" i="2" s="1"/>
  <c r="V127" i="2"/>
  <c r="AJ127" i="2" s="1"/>
  <c r="AM127" i="2" s="1"/>
  <c r="T103" i="2"/>
  <c r="AH103" i="2" s="1"/>
  <c r="AK103" i="2" s="1"/>
  <c r="U103" i="2"/>
  <c r="AI103" i="2" s="1"/>
  <c r="AL103" i="2" s="1"/>
  <c r="V103" i="2"/>
  <c r="AJ103" i="2" s="1"/>
  <c r="AM103" i="2" s="1"/>
  <c r="T110" i="2"/>
  <c r="AH110" i="2" s="1"/>
  <c r="AK110" i="2" s="1"/>
  <c r="U110" i="2"/>
  <c r="AI110" i="2" s="1"/>
  <c r="AL110" i="2" s="1"/>
  <c r="V110" i="2"/>
  <c r="AJ110" i="2" s="1"/>
  <c r="AM110" i="2" s="1"/>
  <c r="V109" i="2"/>
  <c r="AJ109" i="2" s="1"/>
  <c r="AM109" i="2" s="1"/>
  <c r="T109" i="2"/>
  <c r="AH109" i="2" s="1"/>
  <c r="AK109" i="2" s="1"/>
  <c r="U109" i="2"/>
  <c r="AI109" i="2" s="1"/>
  <c r="AL109" i="2" s="1"/>
  <c r="V93" i="2"/>
  <c r="AJ93" i="2" s="1"/>
  <c r="AM93" i="2" s="1"/>
  <c r="T93" i="2"/>
  <c r="AH93" i="2" s="1"/>
  <c r="AK93" i="2" s="1"/>
  <c r="U93" i="2"/>
  <c r="AI93" i="2" s="1"/>
  <c r="AL93" i="2" s="1"/>
  <c r="T108" i="2"/>
  <c r="AH108" i="2" s="1"/>
  <c r="AK108" i="2" s="1"/>
  <c r="U108" i="2"/>
  <c r="AI108" i="2" s="1"/>
  <c r="AL108" i="2" s="1"/>
  <c r="V108" i="2"/>
  <c r="AJ108" i="2" s="1"/>
  <c r="AM108" i="2" s="1"/>
  <c r="U84" i="2"/>
  <c r="AI84" i="2" s="1"/>
  <c r="AL84" i="2" s="1"/>
  <c r="T84" i="2"/>
  <c r="AH84" i="2" s="1"/>
  <c r="AK84" i="2" s="1"/>
  <c r="V84" i="2"/>
  <c r="AJ84" i="2" s="1"/>
  <c r="AM84" i="2" s="1"/>
  <c r="T123" i="2"/>
  <c r="AH123" i="2" s="1"/>
  <c r="AK123" i="2" s="1"/>
  <c r="U123" i="2"/>
  <c r="AI123" i="2" s="1"/>
  <c r="AL123" i="2" s="1"/>
  <c r="V123" i="2"/>
  <c r="AJ123" i="2" s="1"/>
  <c r="AM123" i="2" s="1"/>
  <c r="T115" i="2"/>
  <c r="AH115" i="2" s="1"/>
  <c r="AK115" i="2" s="1"/>
  <c r="U115" i="2"/>
  <c r="AI115" i="2" s="1"/>
  <c r="AL115" i="2" s="1"/>
  <c r="V115" i="2"/>
  <c r="AJ115" i="2" s="1"/>
  <c r="AM115" i="2" s="1"/>
  <c r="T107" i="2"/>
  <c r="AH107" i="2" s="1"/>
  <c r="AK107" i="2" s="1"/>
  <c r="U107" i="2"/>
  <c r="AI107" i="2" s="1"/>
  <c r="AL107" i="2" s="1"/>
  <c r="V107" i="2"/>
  <c r="AJ107" i="2" s="1"/>
  <c r="AM107" i="2" s="1"/>
  <c r="T99" i="2"/>
  <c r="AH99" i="2" s="1"/>
  <c r="AK99" i="2" s="1"/>
  <c r="U99" i="2"/>
  <c r="AI99" i="2" s="1"/>
  <c r="AL99" i="2" s="1"/>
  <c r="V99" i="2"/>
  <c r="AJ99" i="2" s="1"/>
  <c r="AM99" i="2" s="1"/>
  <c r="T91" i="2"/>
  <c r="AH91" i="2" s="1"/>
  <c r="AK91" i="2" s="1"/>
  <c r="U91" i="2"/>
  <c r="AI91" i="2" s="1"/>
  <c r="AL91" i="2" s="1"/>
  <c r="V91" i="2"/>
  <c r="AJ91" i="2" s="1"/>
  <c r="AM91" i="2" s="1"/>
  <c r="L83" i="2"/>
  <c r="T83" i="2"/>
  <c r="AH83" i="2" s="1"/>
  <c r="AK83" i="2" s="1"/>
  <c r="U83" i="2"/>
  <c r="AI83" i="2" s="1"/>
  <c r="AL83" i="2" s="1"/>
  <c r="V83" i="2"/>
  <c r="AJ83" i="2" s="1"/>
  <c r="AM83" i="2" s="1"/>
  <c r="U120" i="2"/>
  <c r="AI120" i="2" s="1"/>
  <c r="AL120" i="2" s="1"/>
  <c r="V120" i="2"/>
  <c r="AJ120" i="2" s="1"/>
  <c r="AM120" i="2" s="1"/>
  <c r="T120" i="2"/>
  <c r="AH120" i="2" s="1"/>
  <c r="AK120" i="2" s="1"/>
  <c r="T111" i="2"/>
  <c r="AH111" i="2" s="1"/>
  <c r="AK111" i="2" s="1"/>
  <c r="U111" i="2"/>
  <c r="AI111" i="2" s="1"/>
  <c r="AL111" i="2" s="1"/>
  <c r="V111" i="2"/>
  <c r="AJ111" i="2" s="1"/>
  <c r="AM111" i="2" s="1"/>
  <c r="T87" i="2"/>
  <c r="AH87" i="2" s="1"/>
  <c r="AK87" i="2" s="1"/>
  <c r="U87" i="2"/>
  <c r="AI87" i="2" s="1"/>
  <c r="AL87" i="2" s="1"/>
  <c r="V87" i="2"/>
  <c r="AJ87" i="2" s="1"/>
  <c r="AM87" i="2" s="1"/>
  <c r="T102" i="2"/>
  <c r="AH102" i="2" s="1"/>
  <c r="AK102" i="2" s="1"/>
  <c r="U102" i="2"/>
  <c r="AI102" i="2" s="1"/>
  <c r="AL102" i="2" s="1"/>
  <c r="V102" i="2"/>
  <c r="AJ102" i="2" s="1"/>
  <c r="AM102" i="2" s="1"/>
  <c r="V125" i="2"/>
  <c r="AJ125" i="2" s="1"/>
  <c r="AM125" i="2" s="1"/>
  <c r="T125" i="2"/>
  <c r="AH125" i="2" s="1"/>
  <c r="AK125" i="2" s="1"/>
  <c r="U125" i="2"/>
  <c r="AI125" i="2" s="1"/>
  <c r="AL125" i="2" s="1"/>
  <c r="V101" i="2"/>
  <c r="AJ101" i="2" s="1"/>
  <c r="AM101" i="2" s="1"/>
  <c r="T101" i="2"/>
  <c r="AH101" i="2" s="1"/>
  <c r="AK101" i="2" s="1"/>
  <c r="U101" i="2"/>
  <c r="AI101" i="2" s="1"/>
  <c r="AL101" i="2" s="1"/>
  <c r="T124" i="2"/>
  <c r="AH124" i="2" s="1"/>
  <c r="AK124" i="2" s="1"/>
  <c r="U124" i="2"/>
  <c r="AI124" i="2" s="1"/>
  <c r="AL124" i="2" s="1"/>
  <c r="V124" i="2"/>
  <c r="AJ124" i="2" s="1"/>
  <c r="AM124" i="2" s="1"/>
  <c r="U92" i="2"/>
  <c r="AI92" i="2" s="1"/>
  <c r="AL92" i="2" s="1"/>
  <c r="T92" i="2"/>
  <c r="AH92" i="2" s="1"/>
  <c r="AK92" i="2" s="1"/>
  <c r="V92" i="2"/>
  <c r="AJ92" i="2" s="1"/>
  <c r="AM92" i="2" s="1"/>
  <c r="T122" i="2"/>
  <c r="AH122" i="2" s="1"/>
  <c r="AK122" i="2" s="1"/>
  <c r="U122" i="2"/>
  <c r="AI122" i="2" s="1"/>
  <c r="AL122" i="2" s="1"/>
  <c r="V122" i="2"/>
  <c r="AJ122" i="2" s="1"/>
  <c r="AM122" i="2" s="1"/>
  <c r="T114" i="2"/>
  <c r="AH114" i="2" s="1"/>
  <c r="AK114" i="2" s="1"/>
  <c r="U114" i="2"/>
  <c r="AI114" i="2" s="1"/>
  <c r="AL114" i="2" s="1"/>
  <c r="V114" i="2"/>
  <c r="AJ114" i="2" s="1"/>
  <c r="AM114" i="2" s="1"/>
  <c r="T106" i="2"/>
  <c r="AH106" i="2" s="1"/>
  <c r="AK106" i="2" s="1"/>
  <c r="U106" i="2"/>
  <c r="AI106" i="2" s="1"/>
  <c r="AL106" i="2" s="1"/>
  <c r="V106" i="2"/>
  <c r="AJ106" i="2" s="1"/>
  <c r="AM106" i="2" s="1"/>
  <c r="T98" i="2"/>
  <c r="AH98" i="2" s="1"/>
  <c r="AK98" i="2" s="1"/>
  <c r="U98" i="2"/>
  <c r="AI98" i="2" s="1"/>
  <c r="AL98" i="2" s="1"/>
  <c r="V98" i="2"/>
  <c r="AJ98" i="2" s="1"/>
  <c r="AM98" i="2" s="1"/>
  <c r="T90" i="2"/>
  <c r="AH90" i="2" s="1"/>
  <c r="AK90" i="2" s="1"/>
  <c r="U90" i="2"/>
  <c r="AI90" i="2" s="1"/>
  <c r="AL90" i="2" s="1"/>
  <c r="V90" i="2"/>
  <c r="AJ90" i="2" s="1"/>
  <c r="AM90" i="2" s="1"/>
  <c r="U96" i="2"/>
  <c r="AI96" i="2" s="1"/>
  <c r="AL96" i="2" s="1"/>
  <c r="V96" i="2"/>
  <c r="AJ96" i="2" s="1"/>
  <c r="AM96" i="2" s="1"/>
  <c r="T96" i="2"/>
  <c r="AH96" i="2" s="1"/>
  <c r="AK96" i="2" s="1"/>
  <c r="T95" i="2"/>
  <c r="AH95" i="2" s="1"/>
  <c r="AK95" i="2" s="1"/>
  <c r="U95" i="2"/>
  <c r="AI95" i="2" s="1"/>
  <c r="AL95" i="2" s="1"/>
  <c r="V95" i="2"/>
  <c r="AJ95" i="2" s="1"/>
  <c r="AM95" i="2" s="1"/>
  <c r="V126" i="2"/>
  <c r="AJ126" i="2" s="1"/>
  <c r="AM126" i="2" s="1"/>
  <c r="T126" i="2"/>
  <c r="AH126" i="2" s="1"/>
  <c r="AK126" i="2" s="1"/>
  <c r="U126" i="2"/>
  <c r="AI126" i="2" s="1"/>
  <c r="AL126" i="2" s="1"/>
  <c r="T118" i="2"/>
  <c r="AH118" i="2" s="1"/>
  <c r="AK118" i="2" s="1"/>
  <c r="V118" i="2"/>
  <c r="AJ118" i="2" s="1"/>
  <c r="AM118" i="2" s="1"/>
  <c r="U118" i="2"/>
  <c r="AI118" i="2" s="1"/>
  <c r="AL118" i="2" s="1"/>
  <c r="V117" i="2"/>
  <c r="AJ117" i="2" s="1"/>
  <c r="AM117" i="2" s="1"/>
  <c r="T117" i="2"/>
  <c r="AH117" i="2" s="1"/>
  <c r="AK117" i="2" s="1"/>
  <c r="U117" i="2"/>
  <c r="AI117" i="2" s="1"/>
  <c r="AL117" i="2" s="1"/>
  <c r="V85" i="2"/>
  <c r="AJ85" i="2" s="1"/>
  <c r="AM85" i="2" s="1"/>
  <c r="T85" i="2"/>
  <c r="AH85" i="2" s="1"/>
  <c r="AK85" i="2" s="1"/>
  <c r="U85" i="2"/>
  <c r="AI85" i="2" s="1"/>
  <c r="AL85" i="2" s="1"/>
  <c r="T116" i="2"/>
  <c r="AH116" i="2" s="1"/>
  <c r="AK116" i="2" s="1"/>
  <c r="U116" i="2"/>
  <c r="AI116" i="2" s="1"/>
  <c r="AL116" i="2" s="1"/>
  <c r="V116" i="2"/>
  <c r="AJ116" i="2" s="1"/>
  <c r="AM116" i="2" s="1"/>
  <c r="T100" i="2"/>
  <c r="AH100" i="2" s="1"/>
  <c r="AK100" i="2" s="1"/>
  <c r="U100" i="2"/>
  <c r="AI100" i="2" s="1"/>
  <c r="AL100" i="2" s="1"/>
  <c r="V100" i="2"/>
  <c r="AJ100" i="2" s="1"/>
  <c r="AM100" i="2" s="1"/>
  <c r="U129" i="2"/>
  <c r="AI129" i="2" s="1"/>
  <c r="AL129" i="2" s="1"/>
  <c r="V129" i="2"/>
  <c r="AJ129" i="2" s="1"/>
  <c r="AM129" i="2" s="1"/>
  <c r="T129" i="2"/>
  <c r="AH129" i="2" s="1"/>
  <c r="AK129" i="2" s="1"/>
  <c r="U121" i="2"/>
  <c r="AI121" i="2" s="1"/>
  <c r="AL121" i="2" s="1"/>
  <c r="V121" i="2"/>
  <c r="AJ121" i="2" s="1"/>
  <c r="AM121" i="2" s="1"/>
  <c r="T121" i="2"/>
  <c r="AH121" i="2" s="1"/>
  <c r="AK121" i="2" s="1"/>
  <c r="U113" i="2"/>
  <c r="AI113" i="2" s="1"/>
  <c r="AL113" i="2" s="1"/>
  <c r="V113" i="2"/>
  <c r="AJ113" i="2" s="1"/>
  <c r="AM113" i="2" s="1"/>
  <c r="T113" i="2"/>
  <c r="AH113" i="2" s="1"/>
  <c r="AK113" i="2" s="1"/>
  <c r="U105" i="2"/>
  <c r="AI105" i="2" s="1"/>
  <c r="AL105" i="2" s="1"/>
  <c r="T105" i="2"/>
  <c r="AH105" i="2" s="1"/>
  <c r="AK105" i="2" s="1"/>
  <c r="V105" i="2"/>
  <c r="AJ105" i="2" s="1"/>
  <c r="AM105" i="2" s="1"/>
  <c r="U97" i="2"/>
  <c r="AI97" i="2" s="1"/>
  <c r="AL97" i="2" s="1"/>
  <c r="T97" i="2"/>
  <c r="AH97" i="2" s="1"/>
  <c r="AK97" i="2" s="1"/>
  <c r="V97" i="2"/>
  <c r="AJ97" i="2" s="1"/>
  <c r="AM97" i="2" s="1"/>
  <c r="U89" i="2"/>
  <c r="AI89" i="2" s="1"/>
  <c r="AL89" i="2" s="1"/>
  <c r="T89" i="2"/>
  <c r="AH89" i="2" s="1"/>
  <c r="AK89" i="2" s="1"/>
  <c r="V89" i="2"/>
  <c r="AJ89" i="2" s="1"/>
  <c r="AM89" i="2" s="1"/>
  <c r="U88" i="2"/>
  <c r="AI88" i="2" s="1"/>
  <c r="AL88" i="2" s="1"/>
  <c r="V88" i="2"/>
  <c r="AJ88" i="2" s="1"/>
  <c r="AM88" i="2" s="1"/>
  <c r="T88" i="2"/>
  <c r="AH88" i="2" s="1"/>
  <c r="AK88" i="2" s="1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L28" i="2" l="1"/>
  <c r="Y28" i="2" s="1"/>
  <c r="B120" i="4" s="1"/>
  <c r="I120" i="4" l="1"/>
  <c r="Q120" i="4"/>
  <c r="AB120" i="4" s="1"/>
  <c r="CE28" i="2"/>
  <c r="CC28" i="2"/>
  <c r="CA28" i="2"/>
  <c r="R3" i="1"/>
  <c r="AV28" i="2"/>
  <c r="AF159" i="2"/>
  <c r="AG159" i="2" s="1"/>
  <c r="BM159" i="2" s="1"/>
  <c r="AE159" i="2"/>
  <c r="BJ159" i="2" s="1"/>
  <c r="AD159" i="2"/>
  <c r="BG159" i="2" s="1"/>
  <c r="AC159" i="2"/>
  <c r="AY159" i="2" s="1"/>
  <c r="AB159" i="2"/>
  <c r="AA159" i="2"/>
  <c r="Z159" i="2"/>
  <c r="CD159" i="2" s="1"/>
  <c r="Y159" i="2"/>
  <c r="S158" i="2"/>
  <c r="AF158" i="2" s="1"/>
  <c r="AG158" i="2" s="1"/>
  <c r="BM158" i="2" s="1"/>
  <c r="R158" i="2"/>
  <c r="AE158" i="2" s="1"/>
  <c r="BJ158" i="2" s="1"/>
  <c r="Q158" i="2"/>
  <c r="AD158" i="2" s="1"/>
  <c r="BG158" i="2" s="1"/>
  <c r="P158" i="2"/>
  <c r="AC158" i="2" s="1"/>
  <c r="AY158" i="2" s="1"/>
  <c r="O158" i="2"/>
  <c r="AB158" i="2" s="1"/>
  <c r="N158" i="2"/>
  <c r="AA158" i="2" s="1"/>
  <c r="M158" i="2"/>
  <c r="Z158" i="2" s="1"/>
  <c r="CD158" i="2" s="1"/>
  <c r="L158" i="2"/>
  <c r="Y158" i="2" s="1"/>
  <c r="S157" i="2"/>
  <c r="AF157" i="2" s="1"/>
  <c r="AG157" i="2" s="1"/>
  <c r="BM157" i="2" s="1"/>
  <c r="R157" i="2"/>
  <c r="AE157" i="2" s="1"/>
  <c r="BJ157" i="2" s="1"/>
  <c r="Q157" i="2"/>
  <c r="AD157" i="2" s="1"/>
  <c r="BG157" i="2" s="1"/>
  <c r="P157" i="2"/>
  <c r="AC157" i="2" s="1"/>
  <c r="AY157" i="2" s="1"/>
  <c r="O157" i="2"/>
  <c r="AB157" i="2" s="1"/>
  <c r="N157" i="2"/>
  <c r="AA157" i="2" s="1"/>
  <c r="M157" i="2"/>
  <c r="Z157" i="2" s="1"/>
  <c r="CD157" i="2" s="1"/>
  <c r="L157" i="2"/>
  <c r="Y157" i="2" s="1"/>
  <c r="S156" i="2"/>
  <c r="AF156" i="2" s="1"/>
  <c r="AG156" i="2" s="1"/>
  <c r="BM156" i="2" s="1"/>
  <c r="R156" i="2"/>
  <c r="AE156" i="2" s="1"/>
  <c r="BJ156" i="2" s="1"/>
  <c r="Q156" i="2"/>
  <c r="AD156" i="2" s="1"/>
  <c r="BG156" i="2" s="1"/>
  <c r="P156" i="2"/>
  <c r="AC156" i="2" s="1"/>
  <c r="AY156" i="2" s="1"/>
  <c r="O156" i="2"/>
  <c r="AB156" i="2" s="1"/>
  <c r="N156" i="2"/>
  <c r="AA156" i="2" s="1"/>
  <c r="M156" i="2"/>
  <c r="Z156" i="2" s="1"/>
  <c r="CD156" i="2" s="1"/>
  <c r="L156" i="2"/>
  <c r="Y156" i="2" s="1"/>
  <c r="S155" i="2"/>
  <c r="AF155" i="2" s="1"/>
  <c r="AG155" i="2" s="1"/>
  <c r="BM155" i="2" s="1"/>
  <c r="R155" i="2"/>
  <c r="AE155" i="2" s="1"/>
  <c r="BJ155" i="2" s="1"/>
  <c r="Q155" i="2"/>
  <c r="AD155" i="2" s="1"/>
  <c r="BG155" i="2" s="1"/>
  <c r="P155" i="2"/>
  <c r="AC155" i="2" s="1"/>
  <c r="AY155" i="2" s="1"/>
  <c r="O155" i="2"/>
  <c r="AB155" i="2" s="1"/>
  <c r="N155" i="2"/>
  <c r="AA155" i="2" s="1"/>
  <c r="M155" i="2"/>
  <c r="Z155" i="2" s="1"/>
  <c r="CD155" i="2" s="1"/>
  <c r="L155" i="2"/>
  <c r="Y155" i="2" s="1"/>
  <c r="S154" i="2"/>
  <c r="AF154" i="2" s="1"/>
  <c r="AG154" i="2" s="1"/>
  <c r="BM154" i="2" s="1"/>
  <c r="R154" i="2"/>
  <c r="AE154" i="2" s="1"/>
  <c r="BJ154" i="2" s="1"/>
  <c r="Q154" i="2"/>
  <c r="AD154" i="2" s="1"/>
  <c r="BG154" i="2" s="1"/>
  <c r="P154" i="2"/>
  <c r="AC154" i="2" s="1"/>
  <c r="AY154" i="2" s="1"/>
  <c r="O154" i="2"/>
  <c r="AB154" i="2" s="1"/>
  <c r="N154" i="2"/>
  <c r="AA154" i="2" s="1"/>
  <c r="M154" i="2"/>
  <c r="Z154" i="2" s="1"/>
  <c r="CD154" i="2" s="1"/>
  <c r="L154" i="2"/>
  <c r="Y154" i="2" s="1"/>
  <c r="S153" i="2"/>
  <c r="AF153" i="2" s="1"/>
  <c r="AG153" i="2" s="1"/>
  <c r="BM153" i="2" s="1"/>
  <c r="R153" i="2"/>
  <c r="AE153" i="2" s="1"/>
  <c r="BJ153" i="2" s="1"/>
  <c r="Q153" i="2"/>
  <c r="AD153" i="2" s="1"/>
  <c r="BG153" i="2" s="1"/>
  <c r="P153" i="2"/>
  <c r="AC153" i="2" s="1"/>
  <c r="AY153" i="2" s="1"/>
  <c r="O153" i="2"/>
  <c r="AB153" i="2" s="1"/>
  <c r="N153" i="2"/>
  <c r="AA153" i="2" s="1"/>
  <c r="M153" i="2"/>
  <c r="Z153" i="2" s="1"/>
  <c r="CD153" i="2" s="1"/>
  <c r="L153" i="2"/>
  <c r="Y153" i="2" s="1"/>
  <c r="S152" i="2"/>
  <c r="AF152" i="2" s="1"/>
  <c r="AG152" i="2" s="1"/>
  <c r="BM152" i="2" s="1"/>
  <c r="R152" i="2"/>
  <c r="AE152" i="2" s="1"/>
  <c r="BJ152" i="2" s="1"/>
  <c r="Q152" i="2"/>
  <c r="AD152" i="2" s="1"/>
  <c r="BG152" i="2" s="1"/>
  <c r="P152" i="2"/>
  <c r="AC152" i="2" s="1"/>
  <c r="AY152" i="2" s="1"/>
  <c r="O152" i="2"/>
  <c r="AB152" i="2" s="1"/>
  <c r="N152" i="2"/>
  <c r="AA152" i="2" s="1"/>
  <c r="M152" i="2"/>
  <c r="Z152" i="2" s="1"/>
  <c r="CD152" i="2" s="1"/>
  <c r="L152" i="2"/>
  <c r="Y152" i="2" s="1"/>
  <c r="S151" i="2"/>
  <c r="AF151" i="2" s="1"/>
  <c r="AG151" i="2" s="1"/>
  <c r="BM151" i="2" s="1"/>
  <c r="R151" i="2"/>
  <c r="AE151" i="2" s="1"/>
  <c r="BJ151" i="2" s="1"/>
  <c r="Q151" i="2"/>
  <c r="AD151" i="2" s="1"/>
  <c r="BG151" i="2" s="1"/>
  <c r="P151" i="2"/>
  <c r="AC151" i="2" s="1"/>
  <c r="AY151" i="2" s="1"/>
  <c r="O151" i="2"/>
  <c r="AB151" i="2" s="1"/>
  <c r="N151" i="2"/>
  <c r="AA151" i="2" s="1"/>
  <c r="M151" i="2"/>
  <c r="Z151" i="2" s="1"/>
  <c r="CD151" i="2" s="1"/>
  <c r="L151" i="2"/>
  <c r="Y151" i="2" s="1"/>
  <c r="S150" i="2"/>
  <c r="AF150" i="2" s="1"/>
  <c r="AG150" i="2" s="1"/>
  <c r="BM150" i="2" s="1"/>
  <c r="R150" i="2"/>
  <c r="AE150" i="2" s="1"/>
  <c r="BJ150" i="2" s="1"/>
  <c r="Q150" i="2"/>
  <c r="AD150" i="2" s="1"/>
  <c r="BG150" i="2" s="1"/>
  <c r="P150" i="2"/>
  <c r="AC150" i="2" s="1"/>
  <c r="AY150" i="2" s="1"/>
  <c r="O150" i="2"/>
  <c r="AB150" i="2" s="1"/>
  <c r="N150" i="2"/>
  <c r="AA150" i="2" s="1"/>
  <c r="M150" i="2"/>
  <c r="Z150" i="2" s="1"/>
  <c r="CD150" i="2" s="1"/>
  <c r="L150" i="2"/>
  <c r="Y150" i="2" s="1"/>
  <c r="S149" i="2"/>
  <c r="AF149" i="2" s="1"/>
  <c r="AG149" i="2" s="1"/>
  <c r="BM149" i="2" s="1"/>
  <c r="R149" i="2"/>
  <c r="AE149" i="2" s="1"/>
  <c r="BJ149" i="2" s="1"/>
  <c r="Q149" i="2"/>
  <c r="AD149" i="2" s="1"/>
  <c r="BG149" i="2" s="1"/>
  <c r="P149" i="2"/>
  <c r="AC149" i="2" s="1"/>
  <c r="AY149" i="2" s="1"/>
  <c r="O149" i="2"/>
  <c r="AB149" i="2" s="1"/>
  <c r="N149" i="2"/>
  <c r="AA149" i="2" s="1"/>
  <c r="M149" i="2"/>
  <c r="Z149" i="2" s="1"/>
  <c r="CD149" i="2" s="1"/>
  <c r="L149" i="2"/>
  <c r="Y149" i="2" s="1"/>
  <c r="S148" i="2"/>
  <c r="AF148" i="2" s="1"/>
  <c r="AG148" i="2" s="1"/>
  <c r="BM148" i="2" s="1"/>
  <c r="R148" i="2"/>
  <c r="AE148" i="2" s="1"/>
  <c r="BJ148" i="2" s="1"/>
  <c r="Q148" i="2"/>
  <c r="AD148" i="2" s="1"/>
  <c r="BG148" i="2" s="1"/>
  <c r="P148" i="2"/>
  <c r="AC148" i="2" s="1"/>
  <c r="AY148" i="2" s="1"/>
  <c r="O148" i="2"/>
  <c r="AB148" i="2" s="1"/>
  <c r="N148" i="2"/>
  <c r="AA148" i="2" s="1"/>
  <c r="M148" i="2"/>
  <c r="Z148" i="2" s="1"/>
  <c r="CD148" i="2" s="1"/>
  <c r="L148" i="2"/>
  <c r="Y148" i="2" s="1"/>
  <c r="S147" i="2"/>
  <c r="AF147" i="2" s="1"/>
  <c r="AG147" i="2" s="1"/>
  <c r="BM147" i="2" s="1"/>
  <c r="R147" i="2"/>
  <c r="AE147" i="2" s="1"/>
  <c r="BJ147" i="2" s="1"/>
  <c r="Q147" i="2"/>
  <c r="AD147" i="2" s="1"/>
  <c r="BG147" i="2" s="1"/>
  <c r="P147" i="2"/>
  <c r="AC147" i="2" s="1"/>
  <c r="AY147" i="2" s="1"/>
  <c r="O147" i="2"/>
  <c r="AB147" i="2" s="1"/>
  <c r="N147" i="2"/>
  <c r="AA147" i="2" s="1"/>
  <c r="M147" i="2"/>
  <c r="Z147" i="2" s="1"/>
  <c r="CD147" i="2" s="1"/>
  <c r="L147" i="2"/>
  <c r="Y147" i="2" s="1"/>
  <c r="S146" i="2"/>
  <c r="AF146" i="2" s="1"/>
  <c r="AG146" i="2" s="1"/>
  <c r="BM146" i="2" s="1"/>
  <c r="R146" i="2"/>
  <c r="AE146" i="2" s="1"/>
  <c r="BJ146" i="2" s="1"/>
  <c r="Q146" i="2"/>
  <c r="AD146" i="2" s="1"/>
  <c r="BG146" i="2" s="1"/>
  <c r="P146" i="2"/>
  <c r="AC146" i="2" s="1"/>
  <c r="AY146" i="2" s="1"/>
  <c r="O146" i="2"/>
  <c r="AB146" i="2" s="1"/>
  <c r="N146" i="2"/>
  <c r="AA146" i="2" s="1"/>
  <c r="M146" i="2"/>
  <c r="Z146" i="2" s="1"/>
  <c r="CD146" i="2" s="1"/>
  <c r="L146" i="2"/>
  <c r="Y146" i="2" s="1"/>
  <c r="S145" i="2"/>
  <c r="AF145" i="2" s="1"/>
  <c r="AG145" i="2" s="1"/>
  <c r="BM145" i="2" s="1"/>
  <c r="R145" i="2"/>
  <c r="AE145" i="2" s="1"/>
  <c r="BJ145" i="2" s="1"/>
  <c r="Q145" i="2"/>
  <c r="AD145" i="2" s="1"/>
  <c r="BG145" i="2" s="1"/>
  <c r="P145" i="2"/>
  <c r="AC145" i="2" s="1"/>
  <c r="AY145" i="2" s="1"/>
  <c r="O145" i="2"/>
  <c r="AB145" i="2" s="1"/>
  <c r="N145" i="2"/>
  <c r="AA145" i="2" s="1"/>
  <c r="M145" i="2"/>
  <c r="Z145" i="2" s="1"/>
  <c r="CD145" i="2" s="1"/>
  <c r="L145" i="2"/>
  <c r="Y145" i="2" s="1"/>
  <c r="S144" i="2"/>
  <c r="AF144" i="2" s="1"/>
  <c r="AG144" i="2" s="1"/>
  <c r="BM144" i="2" s="1"/>
  <c r="R144" i="2"/>
  <c r="AE144" i="2" s="1"/>
  <c r="BJ144" i="2" s="1"/>
  <c r="Q144" i="2"/>
  <c r="AD144" i="2" s="1"/>
  <c r="BG144" i="2" s="1"/>
  <c r="P144" i="2"/>
  <c r="AC144" i="2" s="1"/>
  <c r="AY144" i="2" s="1"/>
  <c r="O144" i="2"/>
  <c r="AB144" i="2" s="1"/>
  <c r="N144" i="2"/>
  <c r="AA144" i="2" s="1"/>
  <c r="M144" i="2"/>
  <c r="Z144" i="2" s="1"/>
  <c r="CD144" i="2" s="1"/>
  <c r="L144" i="2"/>
  <c r="Y144" i="2" s="1"/>
  <c r="S143" i="2"/>
  <c r="AF143" i="2" s="1"/>
  <c r="AG143" i="2" s="1"/>
  <c r="BM143" i="2" s="1"/>
  <c r="R143" i="2"/>
  <c r="AE143" i="2" s="1"/>
  <c r="BJ143" i="2" s="1"/>
  <c r="Q143" i="2"/>
  <c r="AD143" i="2" s="1"/>
  <c r="BG143" i="2" s="1"/>
  <c r="P143" i="2"/>
  <c r="AC143" i="2" s="1"/>
  <c r="AY143" i="2" s="1"/>
  <c r="O143" i="2"/>
  <c r="AB143" i="2" s="1"/>
  <c r="N143" i="2"/>
  <c r="AA143" i="2" s="1"/>
  <c r="M143" i="2"/>
  <c r="Z143" i="2" s="1"/>
  <c r="CD143" i="2" s="1"/>
  <c r="L143" i="2"/>
  <c r="Y143" i="2" s="1"/>
  <c r="S142" i="2"/>
  <c r="AF142" i="2" s="1"/>
  <c r="AG142" i="2" s="1"/>
  <c r="BM142" i="2" s="1"/>
  <c r="R142" i="2"/>
  <c r="AE142" i="2" s="1"/>
  <c r="BJ142" i="2" s="1"/>
  <c r="Q142" i="2"/>
  <c r="AD142" i="2" s="1"/>
  <c r="P142" i="2"/>
  <c r="AC142" i="2" s="1"/>
  <c r="AY142" i="2" s="1"/>
  <c r="O142" i="2"/>
  <c r="AB142" i="2" s="1"/>
  <c r="N142" i="2"/>
  <c r="AA142" i="2" s="1"/>
  <c r="M142" i="2"/>
  <c r="Z142" i="2" s="1"/>
  <c r="CD142" i="2" s="1"/>
  <c r="L142" i="2"/>
  <c r="Y142" i="2" s="1"/>
  <c r="S141" i="2"/>
  <c r="AF141" i="2" s="1"/>
  <c r="AG141" i="2" s="1"/>
  <c r="BM141" i="2" s="1"/>
  <c r="R141" i="2"/>
  <c r="AE141" i="2" s="1"/>
  <c r="BJ141" i="2" s="1"/>
  <c r="Q141" i="2"/>
  <c r="AD141" i="2" s="1"/>
  <c r="P141" i="2"/>
  <c r="AC141" i="2" s="1"/>
  <c r="AY141" i="2" s="1"/>
  <c r="O141" i="2"/>
  <c r="AB141" i="2" s="1"/>
  <c r="N141" i="2"/>
  <c r="AA141" i="2" s="1"/>
  <c r="M141" i="2"/>
  <c r="Z141" i="2" s="1"/>
  <c r="CD141" i="2" s="1"/>
  <c r="L141" i="2"/>
  <c r="Y141" i="2" s="1"/>
  <c r="S140" i="2"/>
  <c r="AF140" i="2" s="1"/>
  <c r="AG140" i="2" s="1"/>
  <c r="BM140" i="2" s="1"/>
  <c r="R140" i="2"/>
  <c r="AE140" i="2" s="1"/>
  <c r="BJ140" i="2" s="1"/>
  <c r="Q140" i="2"/>
  <c r="AD140" i="2" s="1"/>
  <c r="P140" i="2"/>
  <c r="AC140" i="2" s="1"/>
  <c r="AY140" i="2" s="1"/>
  <c r="O140" i="2"/>
  <c r="AB140" i="2" s="1"/>
  <c r="N140" i="2"/>
  <c r="AA140" i="2" s="1"/>
  <c r="M140" i="2"/>
  <c r="Z140" i="2" s="1"/>
  <c r="CD140" i="2" s="1"/>
  <c r="L140" i="2"/>
  <c r="Y140" i="2" s="1"/>
  <c r="S139" i="2"/>
  <c r="AF139" i="2" s="1"/>
  <c r="AG139" i="2" s="1"/>
  <c r="BM139" i="2" s="1"/>
  <c r="R139" i="2"/>
  <c r="AE139" i="2" s="1"/>
  <c r="BJ139" i="2" s="1"/>
  <c r="Q139" i="2"/>
  <c r="AD139" i="2" s="1"/>
  <c r="P139" i="2"/>
  <c r="AC139" i="2" s="1"/>
  <c r="AY139" i="2" s="1"/>
  <c r="O139" i="2"/>
  <c r="AB139" i="2" s="1"/>
  <c r="N139" i="2"/>
  <c r="AA139" i="2" s="1"/>
  <c r="M139" i="2"/>
  <c r="Z139" i="2" s="1"/>
  <c r="CD139" i="2" s="1"/>
  <c r="L139" i="2"/>
  <c r="Y139" i="2" s="1"/>
  <c r="S138" i="2"/>
  <c r="AF138" i="2" s="1"/>
  <c r="AG138" i="2" s="1"/>
  <c r="BM138" i="2" s="1"/>
  <c r="R138" i="2"/>
  <c r="AE138" i="2" s="1"/>
  <c r="BJ138" i="2" s="1"/>
  <c r="Q138" i="2"/>
  <c r="AD138" i="2" s="1"/>
  <c r="P138" i="2"/>
  <c r="AC138" i="2" s="1"/>
  <c r="AY138" i="2" s="1"/>
  <c r="O138" i="2"/>
  <c r="AB138" i="2" s="1"/>
  <c r="N138" i="2"/>
  <c r="AA138" i="2" s="1"/>
  <c r="M138" i="2"/>
  <c r="Z138" i="2" s="1"/>
  <c r="CD138" i="2" s="1"/>
  <c r="L138" i="2"/>
  <c r="Y138" i="2" s="1"/>
  <c r="S137" i="2"/>
  <c r="AF137" i="2" s="1"/>
  <c r="AG137" i="2" s="1"/>
  <c r="BM137" i="2" s="1"/>
  <c r="R137" i="2"/>
  <c r="AE137" i="2" s="1"/>
  <c r="BJ137" i="2" s="1"/>
  <c r="Q137" i="2"/>
  <c r="AD137" i="2" s="1"/>
  <c r="P137" i="2"/>
  <c r="AC137" i="2" s="1"/>
  <c r="AY137" i="2" s="1"/>
  <c r="O137" i="2"/>
  <c r="AB137" i="2" s="1"/>
  <c r="N137" i="2"/>
  <c r="AA137" i="2" s="1"/>
  <c r="M137" i="2"/>
  <c r="Z137" i="2" s="1"/>
  <c r="CD137" i="2" s="1"/>
  <c r="L137" i="2"/>
  <c r="Y137" i="2" s="1"/>
  <c r="S136" i="2"/>
  <c r="AF136" i="2" s="1"/>
  <c r="AG136" i="2" s="1"/>
  <c r="BM136" i="2" s="1"/>
  <c r="R136" i="2"/>
  <c r="AE136" i="2" s="1"/>
  <c r="BJ136" i="2" s="1"/>
  <c r="Q136" i="2"/>
  <c r="AD136" i="2" s="1"/>
  <c r="P136" i="2"/>
  <c r="AC136" i="2" s="1"/>
  <c r="AY136" i="2" s="1"/>
  <c r="O136" i="2"/>
  <c r="AB136" i="2" s="1"/>
  <c r="N136" i="2"/>
  <c r="AA136" i="2" s="1"/>
  <c r="M136" i="2"/>
  <c r="Z136" i="2" s="1"/>
  <c r="CD136" i="2" s="1"/>
  <c r="L136" i="2"/>
  <c r="Y136" i="2" s="1"/>
  <c r="S135" i="2"/>
  <c r="AF135" i="2" s="1"/>
  <c r="AG135" i="2" s="1"/>
  <c r="BM135" i="2" s="1"/>
  <c r="R135" i="2"/>
  <c r="AE135" i="2" s="1"/>
  <c r="BJ135" i="2" s="1"/>
  <c r="Q135" i="2"/>
  <c r="AD135" i="2" s="1"/>
  <c r="P135" i="2"/>
  <c r="AC135" i="2" s="1"/>
  <c r="AY135" i="2" s="1"/>
  <c r="O135" i="2"/>
  <c r="AB135" i="2" s="1"/>
  <c r="N135" i="2"/>
  <c r="AA135" i="2" s="1"/>
  <c r="M135" i="2"/>
  <c r="Z135" i="2" s="1"/>
  <c r="CD135" i="2" s="1"/>
  <c r="L135" i="2"/>
  <c r="Y135" i="2" s="1"/>
  <c r="S134" i="2"/>
  <c r="AF134" i="2" s="1"/>
  <c r="AG134" i="2" s="1"/>
  <c r="BM134" i="2" s="1"/>
  <c r="R134" i="2"/>
  <c r="AE134" i="2" s="1"/>
  <c r="BJ134" i="2" s="1"/>
  <c r="Q134" i="2"/>
  <c r="AD134" i="2" s="1"/>
  <c r="P134" i="2"/>
  <c r="AC134" i="2" s="1"/>
  <c r="AY134" i="2" s="1"/>
  <c r="O134" i="2"/>
  <c r="AB134" i="2" s="1"/>
  <c r="N134" i="2"/>
  <c r="AA134" i="2" s="1"/>
  <c r="M134" i="2"/>
  <c r="Z134" i="2" s="1"/>
  <c r="CD134" i="2" s="1"/>
  <c r="L134" i="2"/>
  <c r="Y134" i="2" s="1"/>
  <c r="S133" i="2"/>
  <c r="AF133" i="2" s="1"/>
  <c r="AG133" i="2" s="1"/>
  <c r="BM133" i="2" s="1"/>
  <c r="R133" i="2"/>
  <c r="AE133" i="2" s="1"/>
  <c r="BJ133" i="2" s="1"/>
  <c r="Q133" i="2"/>
  <c r="AD133" i="2" s="1"/>
  <c r="P133" i="2"/>
  <c r="AC133" i="2" s="1"/>
  <c r="AY133" i="2" s="1"/>
  <c r="O133" i="2"/>
  <c r="AB133" i="2" s="1"/>
  <c r="N133" i="2"/>
  <c r="AA133" i="2" s="1"/>
  <c r="M133" i="2"/>
  <c r="Z133" i="2" s="1"/>
  <c r="CD133" i="2" s="1"/>
  <c r="L133" i="2"/>
  <c r="Y133" i="2" s="1"/>
  <c r="S132" i="2"/>
  <c r="AF132" i="2" s="1"/>
  <c r="AG132" i="2" s="1"/>
  <c r="BM132" i="2" s="1"/>
  <c r="R132" i="2"/>
  <c r="AE132" i="2" s="1"/>
  <c r="BJ132" i="2" s="1"/>
  <c r="Q132" i="2"/>
  <c r="AD132" i="2" s="1"/>
  <c r="P132" i="2"/>
  <c r="AC132" i="2" s="1"/>
  <c r="AY132" i="2" s="1"/>
  <c r="O132" i="2"/>
  <c r="AB132" i="2" s="1"/>
  <c r="N132" i="2"/>
  <c r="AA132" i="2" s="1"/>
  <c r="D224" i="4" s="1"/>
  <c r="M132" i="2"/>
  <c r="Z132" i="2" s="1"/>
  <c r="L132" i="2"/>
  <c r="Y132" i="2" s="1"/>
  <c r="B224" i="4" s="1"/>
  <c r="S131" i="2"/>
  <c r="AF131" i="2" s="1"/>
  <c r="AG131" i="2" s="1"/>
  <c r="BM131" i="2" s="1"/>
  <c r="R131" i="2"/>
  <c r="AE131" i="2" s="1"/>
  <c r="BJ131" i="2" s="1"/>
  <c r="Q131" i="2"/>
  <c r="AD131" i="2" s="1"/>
  <c r="P131" i="2"/>
  <c r="AC131" i="2" s="1"/>
  <c r="AY131" i="2" s="1"/>
  <c r="O131" i="2"/>
  <c r="AB131" i="2" s="1"/>
  <c r="N131" i="2"/>
  <c r="AA131" i="2" s="1"/>
  <c r="D223" i="4" s="1"/>
  <c r="M131" i="2"/>
  <c r="Z131" i="2" s="1"/>
  <c r="L131" i="2"/>
  <c r="Y131" i="2" s="1"/>
  <c r="B223" i="4" s="1"/>
  <c r="S130" i="2"/>
  <c r="AF130" i="2" s="1"/>
  <c r="AG130" i="2" s="1"/>
  <c r="BM130" i="2" s="1"/>
  <c r="R130" i="2"/>
  <c r="AE130" i="2" s="1"/>
  <c r="BJ130" i="2" s="1"/>
  <c r="Q130" i="2"/>
  <c r="AD130" i="2" s="1"/>
  <c r="P130" i="2"/>
  <c r="AC130" i="2" s="1"/>
  <c r="AY130" i="2" s="1"/>
  <c r="O130" i="2"/>
  <c r="AB130" i="2" s="1"/>
  <c r="N130" i="2"/>
  <c r="AA130" i="2" s="1"/>
  <c r="D222" i="4" s="1"/>
  <c r="M130" i="2"/>
  <c r="Z130" i="2" s="1"/>
  <c r="L130" i="2"/>
  <c r="Y130" i="2" s="1"/>
  <c r="B222" i="4" s="1"/>
  <c r="S129" i="2"/>
  <c r="AF129" i="2" s="1"/>
  <c r="AG129" i="2" s="1"/>
  <c r="BM129" i="2" s="1"/>
  <c r="R129" i="2"/>
  <c r="AE129" i="2" s="1"/>
  <c r="BJ129" i="2" s="1"/>
  <c r="Q129" i="2"/>
  <c r="AD129" i="2" s="1"/>
  <c r="P129" i="2"/>
  <c r="AC129" i="2" s="1"/>
  <c r="AY129" i="2" s="1"/>
  <c r="O129" i="2"/>
  <c r="AB129" i="2" s="1"/>
  <c r="N129" i="2"/>
  <c r="AA129" i="2" s="1"/>
  <c r="D221" i="4" s="1"/>
  <c r="M129" i="2"/>
  <c r="Z129" i="2" s="1"/>
  <c r="L129" i="2"/>
  <c r="Y129" i="2" s="1"/>
  <c r="B221" i="4" s="1"/>
  <c r="S128" i="2"/>
  <c r="AF128" i="2" s="1"/>
  <c r="AG128" i="2" s="1"/>
  <c r="BM128" i="2" s="1"/>
  <c r="R128" i="2"/>
  <c r="AE128" i="2" s="1"/>
  <c r="BJ128" i="2" s="1"/>
  <c r="Q128" i="2"/>
  <c r="AD128" i="2" s="1"/>
  <c r="P128" i="2"/>
  <c r="AC128" i="2" s="1"/>
  <c r="AY128" i="2" s="1"/>
  <c r="O128" i="2"/>
  <c r="AB128" i="2" s="1"/>
  <c r="N128" i="2"/>
  <c r="AA128" i="2" s="1"/>
  <c r="D220" i="4" s="1"/>
  <c r="M128" i="2"/>
  <c r="Z128" i="2" s="1"/>
  <c r="L128" i="2"/>
  <c r="Y128" i="2" s="1"/>
  <c r="B220" i="4" s="1"/>
  <c r="S127" i="2"/>
  <c r="AF127" i="2" s="1"/>
  <c r="AG127" i="2" s="1"/>
  <c r="BM127" i="2" s="1"/>
  <c r="R127" i="2"/>
  <c r="AE127" i="2" s="1"/>
  <c r="BJ127" i="2" s="1"/>
  <c r="Q127" i="2"/>
  <c r="AD127" i="2" s="1"/>
  <c r="P127" i="2"/>
  <c r="AC127" i="2" s="1"/>
  <c r="AY127" i="2" s="1"/>
  <c r="O127" i="2"/>
  <c r="AB127" i="2" s="1"/>
  <c r="N127" i="2"/>
  <c r="AA127" i="2" s="1"/>
  <c r="D219" i="4" s="1"/>
  <c r="M127" i="2"/>
  <c r="Z127" i="2" s="1"/>
  <c r="L127" i="2"/>
  <c r="Y127" i="2" s="1"/>
  <c r="B219" i="4" s="1"/>
  <c r="S126" i="2"/>
  <c r="AF126" i="2" s="1"/>
  <c r="AG126" i="2" s="1"/>
  <c r="BM126" i="2" s="1"/>
  <c r="R126" i="2"/>
  <c r="AE126" i="2" s="1"/>
  <c r="BJ126" i="2" s="1"/>
  <c r="Q126" i="2"/>
  <c r="AD126" i="2" s="1"/>
  <c r="P126" i="2"/>
  <c r="AC126" i="2" s="1"/>
  <c r="AY126" i="2" s="1"/>
  <c r="O126" i="2"/>
  <c r="AB126" i="2" s="1"/>
  <c r="N126" i="2"/>
  <c r="AA126" i="2" s="1"/>
  <c r="D218" i="4" s="1"/>
  <c r="M126" i="2"/>
  <c r="Z126" i="2" s="1"/>
  <c r="L126" i="2"/>
  <c r="Y126" i="2" s="1"/>
  <c r="B218" i="4" s="1"/>
  <c r="S125" i="2"/>
  <c r="AF125" i="2" s="1"/>
  <c r="AG125" i="2" s="1"/>
  <c r="BM125" i="2" s="1"/>
  <c r="R125" i="2"/>
  <c r="AE125" i="2" s="1"/>
  <c r="BJ125" i="2" s="1"/>
  <c r="Q125" i="2"/>
  <c r="AD125" i="2" s="1"/>
  <c r="P125" i="2"/>
  <c r="AC125" i="2" s="1"/>
  <c r="AY125" i="2" s="1"/>
  <c r="O125" i="2"/>
  <c r="AB125" i="2" s="1"/>
  <c r="N125" i="2"/>
  <c r="AA125" i="2" s="1"/>
  <c r="D217" i="4" s="1"/>
  <c r="M125" i="2"/>
  <c r="Z125" i="2" s="1"/>
  <c r="L125" i="2"/>
  <c r="Y125" i="2" s="1"/>
  <c r="B217" i="4" s="1"/>
  <c r="S124" i="2"/>
  <c r="AF124" i="2" s="1"/>
  <c r="AG124" i="2" s="1"/>
  <c r="BM124" i="2" s="1"/>
  <c r="R124" i="2"/>
  <c r="AE124" i="2" s="1"/>
  <c r="BJ124" i="2" s="1"/>
  <c r="Q124" i="2"/>
  <c r="AD124" i="2" s="1"/>
  <c r="P124" i="2"/>
  <c r="AC124" i="2" s="1"/>
  <c r="AY124" i="2" s="1"/>
  <c r="O124" i="2"/>
  <c r="AB124" i="2" s="1"/>
  <c r="N124" i="2"/>
  <c r="AA124" i="2" s="1"/>
  <c r="D216" i="4" s="1"/>
  <c r="M124" i="2"/>
  <c r="Z124" i="2" s="1"/>
  <c r="L124" i="2"/>
  <c r="Y124" i="2" s="1"/>
  <c r="B216" i="4" s="1"/>
  <c r="S123" i="2"/>
  <c r="AF123" i="2" s="1"/>
  <c r="AG123" i="2" s="1"/>
  <c r="BM123" i="2" s="1"/>
  <c r="R123" i="2"/>
  <c r="AE123" i="2" s="1"/>
  <c r="BJ123" i="2" s="1"/>
  <c r="Q123" i="2"/>
  <c r="AD123" i="2" s="1"/>
  <c r="P123" i="2"/>
  <c r="AC123" i="2" s="1"/>
  <c r="AY123" i="2" s="1"/>
  <c r="O123" i="2"/>
  <c r="AB123" i="2" s="1"/>
  <c r="N123" i="2"/>
  <c r="AA123" i="2" s="1"/>
  <c r="D215" i="4" s="1"/>
  <c r="M123" i="2"/>
  <c r="Z123" i="2" s="1"/>
  <c r="L123" i="2"/>
  <c r="Y123" i="2" s="1"/>
  <c r="B215" i="4" s="1"/>
  <c r="S122" i="2"/>
  <c r="AF122" i="2" s="1"/>
  <c r="AG122" i="2" s="1"/>
  <c r="BM122" i="2" s="1"/>
  <c r="R122" i="2"/>
  <c r="AE122" i="2" s="1"/>
  <c r="BJ122" i="2" s="1"/>
  <c r="Q122" i="2"/>
  <c r="AD122" i="2" s="1"/>
  <c r="P122" i="2"/>
  <c r="AC122" i="2" s="1"/>
  <c r="AY122" i="2" s="1"/>
  <c r="O122" i="2"/>
  <c r="AB122" i="2" s="1"/>
  <c r="N122" i="2"/>
  <c r="AA122" i="2" s="1"/>
  <c r="D214" i="4" s="1"/>
  <c r="M122" i="2"/>
  <c r="Z122" i="2" s="1"/>
  <c r="L122" i="2"/>
  <c r="Y122" i="2" s="1"/>
  <c r="B214" i="4" s="1"/>
  <c r="S121" i="2"/>
  <c r="AF121" i="2" s="1"/>
  <c r="AG121" i="2" s="1"/>
  <c r="BM121" i="2" s="1"/>
  <c r="R121" i="2"/>
  <c r="AE121" i="2" s="1"/>
  <c r="BJ121" i="2" s="1"/>
  <c r="Q121" i="2"/>
  <c r="AD121" i="2" s="1"/>
  <c r="P121" i="2"/>
  <c r="AC121" i="2" s="1"/>
  <c r="AY121" i="2" s="1"/>
  <c r="O121" i="2"/>
  <c r="AB121" i="2" s="1"/>
  <c r="N121" i="2"/>
  <c r="AA121" i="2" s="1"/>
  <c r="D213" i="4" s="1"/>
  <c r="M121" i="2"/>
  <c r="Z121" i="2" s="1"/>
  <c r="L121" i="2"/>
  <c r="Y121" i="2" s="1"/>
  <c r="B213" i="4" s="1"/>
  <c r="S120" i="2"/>
  <c r="AF120" i="2" s="1"/>
  <c r="AG120" i="2" s="1"/>
  <c r="BM120" i="2" s="1"/>
  <c r="R120" i="2"/>
  <c r="AE120" i="2" s="1"/>
  <c r="BJ120" i="2" s="1"/>
  <c r="Q120" i="2"/>
  <c r="AD120" i="2" s="1"/>
  <c r="P120" i="2"/>
  <c r="AC120" i="2" s="1"/>
  <c r="AY120" i="2" s="1"/>
  <c r="O120" i="2"/>
  <c r="AB120" i="2" s="1"/>
  <c r="N120" i="2"/>
  <c r="AA120" i="2" s="1"/>
  <c r="D212" i="4" s="1"/>
  <c r="M120" i="2"/>
  <c r="Z120" i="2" s="1"/>
  <c r="L120" i="2"/>
  <c r="Y120" i="2" s="1"/>
  <c r="B212" i="4" s="1"/>
  <c r="S119" i="2"/>
  <c r="AF119" i="2" s="1"/>
  <c r="AG119" i="2" s="1"/>
  <c r="BM119" i="2" s="1"/>
  <c r="R119" i="2"/>
  <c r="AE119" i="2" s="1"/>
  <c r="BJ119" i="2" s="1"/>
  <c r="Q119" i="2"/>
  <c r="AD119" i="2" s="1"/>
  <c r="P119" i="2"/>
  <c r="AC119" i="2" s="1"/>
  <c r="AY119" i="2" s="1"/>
  <c r="O119" i="2"/>
  <c r="AB119" i="2" s="1"/>
  <c r="N119" i="2"/>
  <c r="AA119" i="2" s="1"/>
  <c r="D211" i="4" s="1"/>
  <c r="M119" i="2"/>
  <c r="Z119" i="2" s="1"/>
  <c r="L119" i="2"/>
  <c r="Y119" i="2" s="1"/>
  <c r="B211" i="4" s="1"/>
  <c r="S118" i="2"/>
  <c r="AF118" i="2" s="1"/>
  <c r="AG118" i="2" s="1"/>
  <c r="BM118" i="2" s="1"/>
  <c r="R118" i="2"/>
  <c r="AE118" i="2" s="1"/>
  <c r="BJ118" i="2" s="1"/>
  <c r="Q118" i="2"/>
  <c r="AD118" i="2" s="1"/>
  <c r="P118" i="2"/>
  <c r="AC118" i="2" s="1"/>
  <c r="AY118" i="2" s="1"/>
  <c r="O118" i="2"/>
  <c r="AB118" i="2" s="1"/>
  <c r="N118" i="2"/>
  <c r="AA118" i="2" s="1"/>
  <c r="D210" i="4" s="1"/>
  <c r="M118" i="2"/>
  <c r="Z118" i="2" s="1"/>
  <c r="L118" i="2"/>
  <c r="Y118" i="2" s="1"/>
  <c r="B210" i="4" s="1"/>
  <c r="S117" i="2"/>
  <c r="AF117" i="2" s="1"/>
  <c r="AG117" i="2" s="1"/>
  <c r="BM117" i="2" s="1"/>
  <c r="R117" i="2"/>
  <c r="AE117" i="2" s="1"/>
  <c r="BJ117" i="2" s="1"/>
  <c r="Q117" i="2"/>
  <c r="AD117" i="2" s="1"/>
  <c r="P117" i="2"/>
  <c r="AC117" i="2" s="1"/>
  <c r="AY117" i="2" s="1"/>
  <c r="O117" i="2"/>
  <c r="AB117" i="2" s="1"/>
  <c r="N117" i="2"/>
  <c r="AA117" i="2" s="1"/>
  <c r="D209" i="4" s="1"/>
  <c r="M117" i="2"/>
  <c r="Z117" i="2" s="1"/>
  <c r="L117" i="2"/>
  <c r="Y117" i="2" s="1"/>
  <c r="B209" i="4" s="1"/>
  <c r="S116" i="2"/>
  <c r="AF116" i="2" s="1"/>
  <c r="AG116" i="2" s="1"/>
  <c r="BM116" i="2" s="1"/>
  <c r="R116" i="2"/>
  <c r="AE116" i="2" s="1"/>
  <c r="BJ116" i="2" s="1"/>
  <c r="Q116" i="2"/>
  <c r="AD116" i="2" s="1"/>
  <c r="P116" i="2"/>
  <c r="AC116" i="2" s="1"/>
  <c r="AY116" i="2" s="1"/>
  <c r="O116" i="2"/>
  <c r="AB116" i="2" s="1"/>
  <c r="N116" i="2"/>
  <c r="AA116" i="2" s="1"/>
  <c r="D208" i="4" s="1"/>
  <c r="M116" i="2"/>
  <c r="Z116" i="2" s="1"/>
  <c r="L116" i="2"/>
  <c r="Y116" i="2" s="1"/>
  <c r="B208" i="4" s="1"/>
  <c r="S115" i="2"/>
  <c r="AF115" i="2" s="1"/>
  <c r="AG115" i="2" s="1"/>
  <c r="BM115" i="2" s="1"/>
  <c r="R115" i="2"/>
  <c r="AE115" i="2" s="1"/>
  <c r="BJ115" i="2" s="1"/>
  <c r="Q115" i="2"/>
  <c r="AD115" i="2" s="1"/>
  <c r="P115" i="2"/>
  <c r="AC115" i="2" s="1"/>
  <c r="AY115" i="2" s="1"/>
  <c r="O115" i="2"/>
  <c r="AB115" i="2" s="1"/>
  <c r="N115" i="2"/>
  <c r="AA115" i="2" s="1"/>
  <c r="D207" i="4" s="1"/>
  <c r="M115" i="2"/>
  <c r="Z115" i="2" s="1"/>
  <c r="L115" i="2"/>
  <c r="Y115" i="2" s="1"/>
  <c r="B207" i="4" s="1"/>
  <c r="S114" i="2"/>
  <c r="AF114" i="2" s="1"/>
  <c r="AG114" i="2" s="1"/>
  <c r="BM114" i="2" s="1"/>
  <c r="R114" i="2"/>
  <c r="AE114" i="2" s="1"/>
  <c r="BJ114" i="2" s="1"/>
  <c r="Q114" i="2"/>
  <c r="AD114" i="2" s="1"/>
  <c r="P114" i="2"/>
  <c r="AC114" i="2" s="1"/>
  <c r="AY114" i="2" s="1"/>
  <c r="O114" i="2"/>
  <c r="AB114" i="2" s="1"/>
  <c r="N114" i="2"/>
  <c r="AA114" i="2" s="1"/>
  <c r="D206" i="4" s="1"/>
  <c r="M114" i="2"/>
  <c r="Z114" i="2" s="1"/>
  <c r="L114" i="2"/>
  <c r="Y114" i="2" s="1"/>
  <c r="B206" i="4" s="1"/>
  <c r="S113" i="2"/>
  <c r="AF113" i="2" s="1"/>
  <c r="AG113" i="2" s="1"/>
  <c r="BM113" i="2" s="1"/>
  <c r="R113" i="2"/>
  <c r="AE113" i="2" s="1"/>
  <c r="BJ113" i="2" s="1"/>
  <c r="Q113" i="2"/>
  <c r="AD113" i="2" s="1"/>
  <c r="P113" i="2"/>
  <c r="AC113" i="2" s="1"/>
  <c r="AY113" i="2" s="1"/>
  <c r="O113" i="2"/>
  <c r="AB113" i="2" s="1"/>
  <c r="N113" i="2"/>
  <c r="AA113" i="2" s="1"/>
  <c r="D205" i="4" s="1"/>
  <c r="M113" i="2"/>
  <c r="Z113" i="2" s="1"/>
  <c r="L113" i="2"/>
  <c r="Y113" i="2" s="1"/>
  <c r="B205" i="4" s="1"/>
  <c r="S112" i="2"/>
  <c r="AF112" i="2" s="1"/>
  <c r="AG112" i="2" s="1"/>
  <c r="BM112" i="2" s="1"/>
  <c r="R112" i="2"/>
  <c r="AE112" i="2" s="1"/>
  <c r="BJ112" i="2" s="1"/>
  <c r="Q112" i="2"/>
  <c r="AD112" i="2" s="1"/>
  <c r="P112" i="2"/>
  <c r="AC112" i="2" s="1"/>
  <c r="AY112" i="2" s="1"/>
  <c r="O112" i="2"/>
  <c r="AB112" i="2" s="1"/>
  <c r="N112" i="2"/>
  <c r="AA112" i="2" s="1"/>
  <c r="D204" i="4" s="1"/>
  <c r="M112" i="2"/>
  <c r="Z112" i="2" s="1"/>
  <c r="L112" i="2"/>
  <c r="Y112" i="2" s="1"/>
  <c r="B204" i="4" s="1"/>
  <c r="S111" i="2"/>
  <c r="AF111" i="2" s="1"/>
  <c r="AG111" i="2" s="1"/>
  <c r="BM111" i="2" s="1"/>
  <c r="R111" i="2"/>
  <c r="AE111" i="2" s="1"/>
  <c r="BJ111" i="2" s="1"/>
  <c r="Q111" i="2"/>
  <c r="AD111" i="2" s="1"/>
  <c r="P111" i="2"/>
  <c r="AC111" i="2" s="1"/>
  <c r="AY111" i="2" s="1"/>
  <c r="O111" i="2"/>
  <c r="AB111" i="2" s="1"/>
  <c r="N111" i="2"/>
  <c r="AA111" i="2" s="1"/>
  <c r="D203" i="4" s="1"/>
  <c r="M111" i="2"/>
  <c r="Z111" i="2" s="1"/>
  <c r="L111" i="2"/>
  <c r="Y111" i="2" s="1"/>
  <c r="B203" i="4" s="1"/>
  <c r="S110" i="2"/>
  <c r="AF110" i="2" s="1"/>
  <c r="AG110" i="2" s="1"/>
  <c r="BM110" i="2" s="1"/>
  <c r="R110" i="2"/>
  <c r="AE110" i="2" s="1"/>
  <c r="BJ110" i="2" s="1"/>
  <c r="Q110" i="2"/>
  <c r="AD110" i="2" s="1"/>
  <c r="P110" i="2"/>
  <c r="AC110" i="2" s="1"/>
  <c r="AY110" i="2" s="1"/>
  <c r="O110" i="2"/>
  <c r="AB110" i="2" s="1"/>
  <c r="N110" i="2"/>
  <c r="AA110" i="2" s="1"/>
  <c r="D202" i="4" s="1"/>
  <c r="M110" i="2"/>
  <c r="Z110" i="2" s="1"/>
  <c r="L110" i="2"/>
  <c r="Y110" i="2" s="1"/>
  <c r="B202" i="4" s="1"/>
  <c r="S109" i="2"/>
  <c r="AF109" i="2" s="1"/>
  <c r="AG109" i="2" s="1"/>
  <c r="BM109" i="2" s="1"/>
  <c r="R109" i="2"/>
  <c r="AE109" i="2" s="1"/>
  <c r="BJ109" i="2" s="1"/>
  <c r="Q109" i="2"/>
  <c r="AD109" i="2" s="1"/>
  <c r="P109" i="2"/>
  <c r="AC109" i="2" s="1"/>
  <c r="AY109" i="2" s="1"/>
  <c r="O109" i="2"/>
  <c r="AB109" i="2" s="1"/>
  <c r="N109" i="2"/>
  <c r="AA109" i="2" s="1"/>
  <c r="D201" i="4" s="1"/>
  <c r="M109" i="2"/>
  <c r="Z109" i="2" s="1"/>
  <c r="L109" i="2"/>
  <c r="Y109" i="2" s="1"/>
  <c r="B201" i="4" s="1"/>
  <c r="S108" i="2"/>
  <c r="AF108" i="2" s="1"/>
  <c r="AG108" i="2" s="1"/>
  <c r="BM108" i="2" s="1"/>
  <c r="R108" i="2"/>
  <c r="AE108" i="2" s="1"/>
  <c r="BJ108" i="2" s="1"/>
  <c r="Q108" i="2"/>
  <c r="AD108" i="2" s="1"/>
  <c r="P108" i="2"/>
  <c r="AC108" i="2" s="1"/>
  <c r="AY108" i="2" s="1"/>
  <c r="O108" i="2"/>
  <c r="AB108" i="2" s="1"/>
  <c r="N108" i="2"/>
  <c r="AA108" i="2" s="1"/>
  <c r="D200" i="4" s="1"/>
  <c r="M108" i="2"/>
  <c r="Z108" i="2" s="1"/>
  <c r="L108" i="2"/>
  <c r="Y108" i="2" s="1"/>
  <c r="B200" i="4" s="1"/>
  <c r="S107" i="2"/>
  <c r="AF107" i="2" s="1"/>
  <c r="AG107" i="2" s="1"/>
  <c r="BM107" i="2" s="1"/>
  <c r="R107" i="2"/>
  <c r="AE107" i="2" s="1"/>
  <c r="BJ107" i="2" s="1"/>
  <c r="Q107" i="2"/>
  <c r="AD107" i="2" s="1"/>
  <c r="P107" i="2"/>
  <c r="AC107" i="2" s="1"/>
  <c r="AY107" i="2" s="1"/>
  <c r="O107" i="2"/>
  <c r="AB107" i="2" s="1"/>
  <c r="N107" i="2"/>
  <c r="AA107" i="2" s="1"/>
  <c r="D199" i="4" s="1"/>
  <c r="M107" i="2"/>
  <c r="Z107" i="2" s="1"/>
  <c r="L107" i="2"/>
  <c r="Y107" i="2" s="1"/>
  <c r="B199" i="4" s="1"/>
  <c r="S106" i="2"/>
  <c r="AF106" i="2" s="1"/>
  <c r="AG106" i="2" s="1"/>
  <c r="BM106" i="2" s="1"/>
  <c r="R106" i="2"/>
  <c r="AE106" i="2" s="1"/>
  <c r="BJ106" i="2" s="1"/>
  <c r="Q106" i="2"/>
  <c r="AD106" i="2" s="1"/>
  <c r="P106" i="2"/>
  <c r="AC106" i="2" s="1"/>
  <c r="AY106" i="2" s="1"/>
  <c r="O106" i="2"/>
  <c r="AB106" i="2" s="1"/>
  <c r="N106" i="2"/>
  <c r="AA106" i="2" s="1"/>
  <c r="D198" i="4" s="1"/>
  <c r="M106" i="2"/>
  <c r="Z106" i="2" s="1"/>
  <c r="L106" i="2"/>
  <c r="Y106" i="2" s="1"/>
  <c r="B198" i="4" s="1"/>
  <c r="S105" i="2"/>
  <c r="AF105" i="2" s="1"/>
  <c r="AG105" i="2" s="1"/>
  <c r="BM105" i="2" s="1"/>
  <c r="R105" i="2"/>
  <c r="AE105" i="2" s="1"/>
  <c r="BJ105" i="2" s="1"/>
  <c r="Q105" i="2"/>
  <c r="AD105" i="2" s="1"/>
  <c r="P105" i="2"/>
  <c r="AC105" i="2" s="1"/>
  <c r="AY105" i="2" s="1"/>
  <c r="O105" i="2"/>
  <c r="AB105" i="2" s="1"/>
  <c r="N105" i="2"/>
  <c r="AA105" i="2" s="1"/>
  <c r="D197" i="4" s="1"/>
  <c r="M105" i="2"/>
  <c r="Z105" i="2" s="1"/>
  <c r="L105" i="2"/>
  <c r="Y105" i="2" s="1"/>
  <c r="B197" i="4" s="1"/>
  <c r="S104" i="2"/>
  <c r="AF104" i="2" s="1"/>
  <c r="AG104" i="2" s="1"/>
  <c r="BM104" i="2" s="1"/>
  <c r="R104" i="2"/>
  <c r="AE104" i="2" s="1"/>
  <c r="BJ104" i="2" s="1"/>
  <c r="Q104" i="2"/>
  <c r="AD104" i="2" s="1"/>
  <c r="P104" i="2"/>
  <c r="AC104" i="2" s="1"/>
  <c r="AY104" i="2" s="1"/>
  <c r="O104" i="2"/>
  <c r="AB104" i="2" s="1"/>
  <c r="N104" i="2"/>
  <c r="AA104" i="2" s="1"/>
  <c r="D196" i="4" s="1"/>
  <c r="M104" i="2"/>
  <c r="Z104" i="2" s="1"/>
  <c r="L104" i="2"/>
  <c r="Y104" i="2" s="1"/>
  <c r="B196" i="4" s="1"/>
  <c r="S103" i="2"/>
  <c r="AF103" i="2" s="1"/>
  <c r="AG103" i="2" s="1"/>
  <c r="BM103" i="2" s="1"/>
  <c r="R103" i="2"/>
  <c r="AE103" i="2" s="1"/>
  <c r="BJ103" i="2" s="1"/>
  <c r="Q103" i="2"/>
  <c r="AD103" i="2" s="1"/>
  <c r="P103" i="2"/>
  <c r="AC103" i="2" s="1"/>
  <c r="AY103" i="2" s="1"/>
  <c r="O103" i="2"/>
  <c r="AB103" i="2" s="1"/>
  <c r="N103" i="2"/>
  <c r="AA103" i="2" s="1"/>
  <c r="D195" i="4" s="1"/>
  <c r="M103" i="2"/>
  <c r="Z103" i="2" s="1"/>
  <c r="L103" i="2"/>
  <c r="Y103" i="2" s="1"/>
  <c r="B195" i="4" s="1"/>
  <c r="S102" i="2"/>
  <c r="AF102" i="2" s="1"/>
  <c r="AG102" i="2" s="1"/>
  <c r="BM102" i="2" s="1"/>
  <c r="R102" i="2"/>
  <c r="AE102" i="2" s="1"/>
  <c r="BJ102" i="2" s="1"/>
  <c r="Q102" i="2"/>
  <c r="AD102" i="2" s="1"/>
  <c r="P102" i="2"/>
  <c r="AC102" i="2" s="1"/>
  <c r="AY102" i="2" s="1"/>
  <c r="O102" i="2"/>
  <c r="AB102" i="2" s="1"/>
  <c r="N102" i="2"/>
  <c r="AA102" i="2" s="1"/>
  <c r="D194" i="4" s="1"/>
  <c r="M102" i="2"/>
  <c r="Z102" i="2" s="1"/>
  <c r="L102" i="2"/>
  <c r="Y102" i="2" s="1"/>
  <c r="B194" i="4" s="1"/>
  <c r="S101" i="2"/>
  <c r="AF101" i="2" s="1"/>
  <c r="AG101" i="2" s="1"/>
  <c r="BM101" i="2" s="1"/>
  <c r="R101" i="2"/>
  <c r="AE101" i="2" s="1"/>
  <c r="BJ101" i="2" s="1"/>
  <c r="Q101" i="2"/>
  <c r="AD101" i="2" s="1"/>
  <c r="P101" i="2"/>
  <c r="AC101" i="2" s="1"/>
  <c r="AY101" i="2" s="1"/>
  <c r="O101" i="2"/>
  <c r="AB101" i="2" s="1"/>
  <c r="N101" i="2"/>
  <c r="AA101" i="2" s="1"/>
  <c r="D193" i="4" s="1"/>
  <c r="M101" i="2"/>
  <c r="Z101" i="2" s="1"/>
  <c r="L101" i="2"/>
  <c r="Y101" i="2" s="1"/>
  <c r="B193" i="4" s="1"/>
  <c r="S100" i="2"/>
  <c r="AF100" i="2" s="1"/>
  <c r="AG100" i="2" s="1"/>
  <c r="BM100" i="2" s="1"/>
  <c r="R100" i="2"/>
  <c r="AE100" i="2" s="1"/>
  <c r="BJ100" i="2" s="1"/>
  <c r="Q100" i="2"/>
  <c r="AD100" i="2" s="1"/>
  <c r="P100" i="2"/>
  <c r="AC100" i="2" s="1"/>
  <c r="AY100" i="2" s="1"/>
  <c r="O100" i="2"/>
  <c r="AB100" i="2" s="1"/>
  <c r="N100" i="2"/>
  <c r="AA100" i="2" s="1"/>
  <c r="D192" i="4" s="1"/>
  <c r="M100" i="2"/>
  <c r="Z100" i="2" s="1"/>
  <c r="L100" i="2"/>
  <c r="Y100" i="2" s="1"/>
  <c r="B192" i="4" s="1"/>
  <c r="S99" i="2"/>
  <c r="AF99" i="2" s="1"/>
  <c r="AG99" i="2" s="1"/>
  <c r="BM99" i="2" s="1"/>
  <c r="R99" i="2"/>
  <c r="AE99" i="2" s="1"/>
  <c r="BJ99" i="2" s="1"/>
  <c r="Q99" i="2"/>
  <c r="AD99" i="2" s="1"/>
  <c r="P99" i="2"/>
  <c r="AC99" i="2" s="1"/>
  <c r="AY99" i="2" s="1"/>
  <c r="O99" i="2"/>
  <c r="AB99" i="2" s="1"/>
  <c r="N99" i="2"/>
  <c r="AA99" i="2" s="1"/>
  <c r="D191" i="4" s="1"/>
  <c r="M99" i="2"/>
  <c r="Z99" i="2" s="1"/>
  <c r="L99" i="2"/>
  <c r="Y99" i="2" s="1"/>
  <c r="B191" i="4" s="1"/>
  <c r="S98" i="2"/>
  <c r="AF98" i="2" s="1"/>
  <c r="AG98" i="2" s="1"/>
  <c r="BM98" i="2" s="1"/>
  <c r="R98" i="2"/>
  <c r="AE98" i="2" s="1"/>
  <c r="BJ98" i="2" s="1"/>
  <c r="Q98" i="2"/>
  <c r="AD98" i="2" s="1"/>
  <c r="P98" i="2"/>
  <c r="AC98" i="2" s="1"/>
  <c r="AY98" i="2" s="1"/>
  <c r="O98" i="2"/>
  <c r="AB98" i="2" s="1"/>
  <c r="N98" i="2"/>
  <c r="AA98" i="2" s="1"/>
  <c r="D190" i="4" s="1"/>
  <c r="M98" i="2"/>
  <c r="Z98" i="2" s="1"/>
  <c r="L98" i="2"/>
  <c r="Y98" i="2" s="1"/>
  <c r="B190" i="4" s="1"/>
  <c r="S97" i="2"/>
  <c r="AF97" i="2" s="1"/>
  <c r="AG97" i="2" s="1"/>
  <c r="BM97" i="2" s="1"/>
  <c r="R97" i="2"/>
  <c r="AE97" i="2" s="1"/>
  <c r="BJ97" i="2" s="1"/>
  <c r="Q97" i="2"/>
  <c r="AD97" i="2" s="1"/>
  <c r="P97" i="2"/>
  <c r="AC97" i="2" s="1"/>
  <c r="AY97" i="2" s="1"/>
  <c r="O97" i="2"/>
  <c r="AB97" i="2" s="1"/>
  <c r="N97" i="2"/>
  <c r="AA97" i="2" s="1"/>
  <c r="D189" i="4" s="1"/>
  <c r="M97" i="2"/>
  <c r="Z97" i="2" s="1"/>
  <c r="L97" i="2"/>
  <c r="Y97" i="2" s="1"/>
  <c r="B189" i="4" s="1"/>
  <c r="S96" i="2"/>
  <c r="AF96" i="2" s="1"/>
  <c r="AG96" i="2" s="1"/>
  <c r="BM96" i="2" s="1"/>
  <c r="R96" i="2"/>
  <c r="AE96" i="2" s="1"/>
  <c r="BJ96" i="2" s="1"/>
  <c r="Q96" i="2"/>
  <c r="AD96" i="2" s="1"/>
  <c r="P96" i="2"/>
  <c r="AC96" i="2" s="1"/>
  <c r="AY96" i="2" s="1"/>
  <c r="O96" i="2"/>
  <c r="AB96" i="2" s="1"/>
  <c r="N96" i="2"/>
  <c r="AA96" i="2" s="1"/>
  <c r="D188" i="4" s="1"/>
  <c r="M96" i="2"/>
  <c r="Z96" i="2" s="1"/>
  <c r="L96" i="2"/>
  <c r="Y96" i="2" s="1"/>
  <c r="B188" i="4" s="1"/>
  <c r="S95" i="2"/>
  <c r="AF95" i="2" s="1"/>
  <c r="AG95" i="2" s="1"/>
  <c r="BM95" i="2" s="1"/>
  <c r="R95" i="2"/>
  <c r="AE95" i="2" s="1"/>
  <c r="BJ95" i="2" s="1"/>
  <c r="Q95" i="2"/>
  <c r="AD95" i="2" s="1"/>
  <c r="P95" i="2"/>
  <c r="AC95" i="2" s="1"/>
  <c r="AY95" i="2" s="1"/>
  <c r="O95" i="2"/>
  <c r="AB95" i="2" s="1"/>
  <c r="N95" i="2"/>
  <c r="AA95" i="2" s="1"/>
  <c r="D187" i="4" s="1"/>
  <c r="M95" i="2"/>
  <c r="Z95" i="2" s="1"/>
  <c r="L95" i="2"/>
  <c r="Y95" i="2" s="1"/>
  <c r="B187" i="4" s="1"/>
  <c r="S94" i="2"/>
  <c r="AF94" i="2" s="1"/>
  <c r="AG94" i="2" s="1"/>
  <c r="BM94" i="2" s="1"/>
  <c r="R94" i="2"/>
  <c r="AE94" i="2" s="1"/>
  <c r="BJ94" i="2" s="1"/>
  <c r="Q94" i="2"/>
  <c r="AD94" i="2" s="1"/>
  <c r="P94" i="2"/>
  <c r="AC94" i="2" s="1"/>
  <c r="AY94" i="2" s="1"/>
  <c r="O94" i="2"/>
  <c r="AB94" i="2" s="1"/>
  <c r="N94" i="2"/>
  <c r="AA94" i="2" s="1"/>
  <c r="D186" i="4" s="1"/>
  <c r="M94" i="2"/>
  <c r="Z94" i="2" s="1"/>
  <c r="L94" i="2"/>
  <c r="Y94" i="2" s="1"/>
  <c r="B186" i="4" s="1"/>
  <c r="S93" i="2"/>
  <c r="AF93" i="2" s="1"/>
  <c r="AG93" i="2" s="1"/>
  <c r="BM93" i="2" s="1"/>
  <c r="R93" i="2"/>
  <c r="AE93" i="2" s="1"/>
  <c r="BJ93" i="2" s="1"/>
  <c r="Q93" i="2"/>
  <c r="AD93" i="2" s="1"/>
  <c r="P93" i="2"/>
  <c r="AC93" i="2" s="1"/>
  <c r="AY93" i="2" s="1"/>
  <c r="O93" i="2"/>
  <c r="AB93" i="2" s="1"/>
  <c r="N93" i="2"/>
  <c r="AA93" i="2" s="1"/>
  <c r="D185" i="4" s="1"/>
  <c r="M93" i="2"/>
  <c r="Z93" i="2" s="1"/>
  <c r="L93" i="2"/>
  <c r="Y93" i="2" s="1"/>
  <c r="B185" i="4" s="1"/>
  <c r="S92" i="2"/>
  <c r="AF92" i="2" s="1"/>
  <c r="AG92" i="2" s="1"/>
  <c r="BM92" i="2" s="1"/>
  <c r="R92" i="2"/>
  <c r="AE92" i="2" s="1"/>
  <c r="BJ92" i="2" s="1"/>
  <c r="Q92" i="2"/>
  <c r="AD92" i="2" s="1"/>
  <c r="P92" i="2"/>
  <c r="AC92" i="2" s="1"/>
  <c r="AY92" i="2" s="1"/>
  <c r="O92" i="2"/>
  <c r="AB92" i="2" s="1"/>
  <c r="N92" i="2"/>
  <c r="AA92" i="2" s="1"/>
  <c r="D184" i="4" s="1"/>
  <c r="M92" i="2"/>
  <c r="Z92" i="2" s="1"/>
  <c r="L92" i="2"/>
  <c r="Y92" i="2" s="1"/>
  <c r="B184" i="4" s="1"/>
  <c r="S91" i="2"/>
  <c r="AF91" i="2" s="1"/>
  <c r="AG91" i="2" s="1"/>
  <c r="BM91" i="2" s="1"/>
  <c r="R91" i="2"/>
  <c r="AE91" i="2" s="1"/>
  <c r="BJ91" i="2" s="1"/>
  <c r="Q91" i="2"/>
  <c r="AD91" i="2" s="1"/>
  <c r="P91" i="2"/>
  <c r="AC91" i="2" s="1"/>
  <c r="AY91" i="2" s="1"/>
  <c r="O91" i="2"/>
  <c r="AB91" i="2" s="1"/>
  <c r="N91" i="2"/>
  <c r="AA91" i="2" s="1"/>
  <c r="D183" i="4" s="1"/>
  <c r="M91" i="2"/>
  <c r="Z91" i="2" s="1"/>
  <c r="L91" i="2"/>
  <c r="Y91" i="2" s="1"/>
  <c r="B183" i="4" s="1"/>
  <c r="S90" i="2"/>
  <c r="AF90" i="2" s="1"/>
  <c r="AG90" i="2" s="1"/>
  <c r="BM90" i="2" s="1"/>
  <c r="R90" i="2"/>
  <c r="AE90" i="2" s="1"/>
  <c r="BJ90" i="2" s="1"/>
  <c r="Q90" i="2"/>
  <c r="AD90" i="2" s="1"/>
  <c r="P90" i="2"/>
  <c r="AC90" i="2" s="1"/>
  <c r="AY90" i="2" s="1"/>
  <c r="O90" i="2"/>
  <c r="AB90" i="2" s="1"/>
  <c r="N90" i="2"/>
  <c r="AA90" i="2" s="1"/>
  <c r="D182" i="4" s="1"/>
  <c r="M90" i="2"/>
  <c r="Z90" i="2" s="1"/>
  <c r="L90" i="2"/>
  <c r="Y90" i="2" s="1"/>
  <c r="B182" i="4" s="1"/>
  <c r="S89" i="2"/>
  <c r="AF89" i="2" s="1"/>
  <c r="AG89" i="2" s="1"/>
  <c r="BM89" i="2" s="1"/>
  <c r="R89" i="2"/>
  <c r="AE89" i="2" s="1"/>
  <c r="BJ89" i="2" s="1"/>
  <c r="Q89" i="2"/>
  <c r="AD89" i="2" s="1"/>
  <c r="P89" i="2"/>
  <c r="AC89" i="2" s="1"/>
  <c r="AY89" i="2" s="1"/>
  <c r="O89" i="2"/>
  <c r="AB89" i="2" s="1"/>
  <c r="N89" i="2"/>
  <c r="AA89" i="2" s="1"/>
  <c r="D181" i="4" s="1"/>
  <c r="M89" i="2"/>
  <c r="Z89" i="2" s="1"/>
  <c r="L89" i="2"/>
  <c r="Y89" i="2" s="1"/>
  <c r="B181" i="4" s="1"/>
  <c r="S88" i="2"/>
  <c r="AF88" i="2" s="1"/>
  <c r="AG88" i="2" s="1"/>
  <c r="BM88" i="2" s="1"/>
  <c r="R88" i="2"/>
  <c r="AE88" i="2" s="1"/>
  <c r="BJ88" i="2" s="1"/>
  <c r="Q88" i="2"/>
  <c r="AD88" i="2" s="1"/>
  <c r="P88" i="2"/>
  <c r="AC88" i="2" s="1"/>
  <c r="AY88" i="2" s="1"/>
  <c r="O88" i="2"/>
  <c r="AB88" i="2" s="1"/>
  <c r="N88" i="2"/>
  <c r="AA88" i="2" s="1"/>
  <c r="D180" i="4" s="1"/>
  <c r="M88" i="2"/>
  <c r="Z88" i="2" s="1"/>
  <c r="L88" i="2"/>
  <c r="Y88" i="2" s="1"/>
  <c r="B180" i="4" s="1"/>
  <c r="S87" i="2"/>
  <c r="AF87" i="2" s="1"/>
  <c r="AG87" i="2" s="1"/>
  <c r="BM87" i="2" s="1"/>
  <c r="R87" i="2"/>
  <c r="AE87" i="2" s="1"/>
  <c r="BJ87" i="2" s="1"/>
  <c r="Q87" i="2"/>
  <c r="AD87" i="2" s="1"/>
  <c r="P87" i="2"/>
  <c r="AC87" i="2" s="1"/>
  <c r="AY87" i="2" s="1"/>
  <c r="O87" i="2"/>
  <c r="AB87" i="2" s="1"/>
  <c r="N87" i="2"/>
  <c r="AA87" i="2" s="1"/>
  <c r="D179" i="4" s="1"/>
  <c r="M87" i="2"/>
  <c r="Z87" i="2" s="1"/>
  <c r="L87" i="2"/>
  <c r="Y87" i="2" s="1"/>
  <c r="B179" i="4" s="1"/>
  <c r="S86" i="2"/>
  <c r="AF86" i="2" s="1"/>
  <c r="AG86" i="2" s="1"/>
  <c r="BM86" i="2" s="1"/>
  <c r="R86" i="2"/>
  <c r="AE86" i="2" s="1"/>
  <c r="BJ86" i="2" s="1"/>
  <c r="Q86" i="2"/>
  <c r="AD86" i="2" s="1"/>
  <c r="P86" i="2"/>
  <c r="AC86" i="2" s="1"/>
  <c r="AY86" i="2" s="1"/>
  <c r="O86" i="2"/>
  <c r="AB86" i="2" s="1"/>
  <c r="N86" i="2"/>
  <c r="AA86" i="2" s="1"/>
  <c r="D178" i="4" s="1"/>
  <c r="M86" i="2"/>
  <c r="Z86" i="2" s="1"/>
  <c r="L86" i="2"/>
  <c r="Y86" i="2" s="1"/>
  <c r="B178" i="4" s="1"/>
  <c r="S85" i="2"/>
  <c r="AF85" i="2" s="1"/>
  <c r="AG85" i="2" s="1"/>
  <c r="BM85" i="2" s="1"/>
  <c r="R85" i="2"/>
  <c r="AE85" i="2" s="1"/>
  <c r="BJ85" i="2" s="1"/>
  <c r="Q85" i="2"/>
  <c r="AD85" i="2" s="1"/>
  <c r="P85" i="2"/>
  <c r="AC85" i="2" s="1"/>
  <c r="AY85" i="2" s="1"/>
  <c r="O85" i="2"/>
  <c r="AB85" i="2" s="1"/>
  <c r="N85" i="2"/>
  <c r="AA85" i="2" s="1"/>
  <c r="D177" i="4" s="1"/>
  <c r="M85" i="2"/>
  <c r="Z85" i="2" s="1"/>
  <c r="L85" i="2"/>
  <c r="Y85" i="2" s="1"/>
  <c r="B177" i="4" s="1"/>
  <c r="S84" i="2"/>
  <c r="AF84" i="2" s="1"/>
  <c r="AG84" i="2" s="1"/>
  <c r="BM84" i="2" s="1"/>
  <c r="R84" i="2"/>
  <c r="AE84" i="2" s="1"/>
  <c r="BJ84" i="2" s="1"/>
  <c r="Q84" i="2"/>
  <c r="AD84" i="2" s="1"/>
  <c r="P84" i="2"/>
  <c r="AC84" i="2" s="1"/>
  <c r="AY84" i="2" s="1"/>
  <c r="O84" i="2"/>
  <c r="AB84" i="2" s="1"/>
  <c r="N84" i="2"/>
  <c r="AA84" i="2" s="1"/>
  <c r="D176" i="4" s="1"/>
  <c r="M84" i="2"/>
  <c r="Z84" i="2" s="1"/>
  <c r="L84" i="2"/>
  <c r="Y84" i="2" s="1"/>
  <c r="B176" i="4" s="1"/>
  <c r="S83" i="2"/>
  <c r="AF83" i="2" s="1"/>
  <c r="AG83" i="2" s="1"/>
  <c r="BM83" i="2" s="1"/>
  <c r="R83" i="2"/>
  <c r="AE83" i="2" s="1"/>
  <c r="BJ83" i="2" s="1"/>
  <c r="Q83" i="2"/>
  <c r="AD83" i="2" s="1"/>
  <c r="P83" i="2"/>
  <c r="AC83" i="2" s="1"/>
  <c r="AY83" i="2" s="1"/>
  <c r="O83" i="2"/>
  <c r="AB83" i="2" s="1"/>
  <c r="N83" i="2"/>
  <c r="AA83" i="2" s="1"/>
  <c r="D175" i="4" s="1"/>
  <c r="M83" i="2"/>
  <c r="Z83" i="2" s="1"/>
  <c r="Y83" i="2"/>
  <c r="B175" i="4" s="1"/>
  <c r="S82" i="2"/>
  <c r="AF82" i="2" s="1"/>
  <c r="AG82" i="2" s="1"/>
  <c r="BM82" i="2" s="1"/>
  <c r="R82" i="2"/>
  <c r="AE82" i="2" s="1"/>
  <c r="BJ82" i="2" s="1"/>
  <c r="Q82" i="2"/>
  <c r="AD82" i="2" s="1"/>
  <c r="P82" i="2"/>
  <c r="AC82" i="2" s="1"/>
  <c r="AY82" i="2" s="1"/>
  <c r="O82" i="2"/>
  <c r="AB82" i="2" s="1"/>
  <c r="N82" i="2"/>
  <c r="AA82" i="2" s="1"/>
  <c r="D174" i="4" s="1"/>
  <c r="M82" i="2"/>
  <c r="Z82" i="2" s="1"/>
  <c r="Y82" i="2"/>
  <c r="B174" i="4" s="1"/>
  <c r="S81" i="2"/>
  <c r="AF81" i="2" s="1"/>
  <c r="AG81" i="2" s="1"/>
  <c r="BM81" i="2" s="1"/>
  <c r="R81" i="2"/>
  <c r="AE81" i="2" s="1"/>
  <c r="BJ81" i="2" s="1"/>
  <c r="Q81" i="2"/>
  <c r="AD81" i="2" s="1"/>
  <c r="P81" i="2"/>
  <c r="AC81" i="2" s="1"/>
  <c r="AY81" i="2" s="1"/>
  <c r="O81" i="2"/>
  <c r="AB81" i="2" s="1"/>
  <c r="N81" i="2"/>
  <c r="AA81" i="2" s="1"/>
  <c r="D173" i="4" s="1"/>
  <c r="M81" i="2"/>
  <c r="Z81" i="2" s="1"/>
  <c r="L81" i="2"/>
  <c r="Y81" i="2" s="1"/>
  <c r="B173" i="4" s="1"/>
  <c r="S80" i="2"/>
  <c r="AF80" i="2" s="1"/>
  <c r="AG80" i="2" s="1"/>
  <c r="BM80" i="2" s="1"/>
  <c r="R80" i="2"/>
  <c r="AE80" i="2" s="1"/>
  <c r="BJ80" i="2" s="1"/>
  <c r="Q80" i="2"/>
  <c r="AD80" i="2" s="1"/>
  <c r="P80" i="2"/>
  <c r="AC80" i="2" s="1"/>
  <c r="AY80" i="2" s="1"/>
  <c r="O80" i="2"/>
  <c r="AB80" i="2" s="1"/>
  <c r="N80" i="2"/>
  <c r="AA80" i="2" s="1"/>
  <c r="D172" i="4" s="1"/>
  <c r="M80" i="2"/>
  <c r="Z80" i="2" s="1"/>
  <c r="L80" i="2"/>
  <c r="Y80" i="2" s="1"/>
  <c r="B172" i="4" s="1"/>
  <c r="S79" i="2"/>
  <c r="AF79" i="2" s="1"/>
  <c r="AG79" i="2" s="1"/>
  <c r="BM79" i="2" s="1"/>
  <c r="R79" i="2"/>
  <c r="AE79" i="2" s="1"/>
  <c r="BJ79" i="2" s="1"/>
  <c r="Q79" i="2"/>
  <c r="AD79" i="2" s="1"/>
  <c r="P79" i="2"/>
  <c r="AC79" i="2" s="1"/>
  <c r="AY79" i="2" s="1"/>
  <c r="O79" i="2"/>
  <c r="AB79" i="2" s="1"/>
  <c r="N79" i="2"/>
  <c r="AA79" i="2" s="1"/>
  <c r="D171" i="4" s="1"/>
  <c r="M79" i="2"/>
  <c r="Z79" i="2" s="1"/>
  <c r="L79" i="2"/>
  <c r="Y79" i="2" s="1"/>
  <c r="B171" i="4" s="1"/>
  <c r="S78" i="2"/>
  <c r="AF78" i="2" s="1"/>
  <c r="AG78" i="2" s="1"/>
  <c r="BM78" i="2" s="1"/>
  <c r="R78" i="2"/>
  <c r="AE78" i="2" s="1"/>
  <c r="BJ78" i="2" s="1"/>
  <c r="Q78" i="2"/>
  <c r="AD78" i="2" s="1"/>
  <c r="P78" i="2"/>
  <c r="AC78" i="2" s="1"/>
  <c r="AY78" i="2" s="1"/>
  <c r="O78" i="2"/>
  <c r="AB78" i="2" s="1"/>
  <c r="N78" i="2"/>
  <c r="AA78" i="2" s="1"/>
  <c r="D170" i="4" s="1"/>
  <c r="M78" i="2"/>
  <c r="Z78" i="2" s="1"/>
  <c r="L78" i="2"/>
  <c r="Y78" i="2" s="1"/>
  <c r="B170" i="4" s="1"/>
  <c r="S77" i="2"/>
  <c r="AF77" i="2" s="1"/>
  <c r="AG77" i="2" s="1"/>
  <c r="BM77" i="2" s="1"/>
  <c r="R77" i="2"/>
  <c r="AE77" i="2" s="1"/>
  <c r="BJ77" i="2" s="1"/>
  <c r="Q77" i="2"/>
  <c r="AD77" i="2" s="1"/>
  <c r="P77" i="2"/>
  <c r="AC77" i="2" s="1"/>
  <c r="AY77" i="2" s="1"/>
  <c r="O77" i="2"/>
  <c r="AB77" i="2" s="1"/>
  <c r="N77" i="2"/>
  <c r="AA77" i="2" s="1"/>
  <c r="D169" i="4" s="1"/>
  <c r="M77" i="2"/>
  <c r="Z77" i="2" s="1"/>
  <c r="L77" i="2"/>
  <c r="Y77" i="2" s="1"/>
  <c r="B169" i="4" s="1"/>
  <c r="S76" i="2"/>
  <c r="AF76" i="2" s="1"/>
  <c r="AG76" i="2" s="1"/>
  <c r="BM76" i="2" s="1"/>
  <c r="R76" i="2"/>
  <c r="AE76" i="2" s="1"/>
  <c r="BJ76" i="2" s="1"/>
  <c r="Q76" i="2"/>
  <c r="AD76" i="2" s="1"/>
  <c r="P76" i="2"/>
  <c r="AC76" i="2" s="1"/>
  <c r="AY76" i="2" s="1"/>
  <c r="O76" i="2"/>
  <c r="AB76" i="2" s="1"/>
  <c r="N76" i="2"/>
  <c r="AA76" i="2" s="1"/>
  <c r="D168" i="4" s="1"/>
  <c r="M76" i="2"/>
  <c r="Z76" i="2" s="1"/>
  <c r="L76" i="2"/>
  <c r="Y76" i="2" s="1"/>
  <c r="B168" i="4" s="1"/>
  <c r="S75" i="2"/>
  <c r="AF75" i="2" s="1"/>
  <c r="AG75" i="2" s="1"/>
  <c r="BM75" i="2" s="1"/>
  <c r="R75" i="2"/>
  <c r="AE75" i="2" s="1"/>
  <c r="BJ75" i="2" s="1"/>
  <c r="Q75" i="2"/>
  <c r="AD75" i="2" s="1"/>
  <c r="P75" i="2"/>
  <c r="AC75" i="2" s="1"/>
  <c r="AY75" i="2" s="1"/>
  <c r="O75" i="2"/>
  <c r="AB75" i="2" s="1"/>
  <c r="N75" i="2"/>
  <c r="AA75" i="2" s="1"/>
  <c r="D167" i="4" s="1"/>
  <c r="M75" i="2"/>
  <c r="Z75" i="2" s="1"/>
  <c r="L75" i="2"/>
  <c r="Y75" i="2" s="1"/>
  <c r="B167" i="4" s="1"/>
  <c r="S74" i="2"/>
  <c r="AF74" i="2" s="1"/>
  <c r="AG74" i="2" s="1"/>
  <c r="BM74" i="2" s="1"/>
  <c r="R74" i="2"/>
  <c r="AE74" i="2" s="1"/>
  <c r="BJ74" i="2" s="1"/>
  <c r="Q74" i="2"/>
  <c r="AD74" i="2" s="1"/>
  <c r="P74" i="2"/>
  <c r="AC74" i="2" s="1"/>
  <c r="AY74" i="2" s="1"/>
  <c r="O74" i="2"/>
  <c r="AB74" i="2" s="1"/>
  <c r="N74" i="2"/>
  <c r="AA74" i="2" s="1"/>
  <c r="D166" i="4" s="1"/>
  <c r="M74" i="2"/>
  <c r="Z74" i="2" s="1"/>
  <c r="L74" i="2"/>
  <c r="Y74" i="2" s="1"/>
  <c r="B166" i="4" s="1"/>
  <c r="S73" i="2"/>
  <c r="AF73" i="2" s="1"/>
  <c r="AG73" i="2" s="1"/>
  <c r="BM73" i="2" s="1"/>
  <c r="R73" i="2"/>
  <c r="AE73" i="2" s="1"/>
  <c r="BJ73" i="2" s="1"/>
  <c r="Q73" i="2"/>
  <c r="AD73" i="2" s="1"/>
  <c r="P73" i="2"/>
  <c r="AC73" i="2" s="1"/>
  <c r="AY73" i="2" s="1"/>
  <c r="O73" i="2"/>
  <c r="AB73" i="2" s="1"/>
  <c r="N73" i="2"/>
  <c r="AA73" i="2" s="1"/>
  <c r="D165" i="4" s="1"/>
  <c r="M73" i="2"/>
  <c r="Z73" i="2" s="1"/>
  <c r="L73" i="2"/>
  <c r="Y73" i="2" s="1"/>
  <c r="B165" i="4" s="1"/>
  <c r="S72" i="2"/>
  <c r="AF72" i="2" s="1"/>
  <c r="AG72" i="2" s="1"/>
  <c r="BM72" i="2" s="1"/>
  <c r="R72" i="2"/>
  <c r="AE72" i="2" s="1"/>
  <c r="BJ72" i="2" s="1"/>
  <c r="Q72" i="2"/>
  <c r="AD72" i="2" s="1"/>
  <c r="P72" i="2"/>
  <c r="AC72" i="2" s="1"/>
  <c r="AY72" i="2" s="1"/>
  <c r="O72" i="2"/>
  <c r="AB72" i="2" s="1"/>
  <c r="N72" i="2"/>
  <c r="AA72" i="2" s="1"/>
  <c r="D164" i="4" s="1"/>
  <c r="M72" i="2"/>
  <c r="Z72" i="2" s="1"/>
  <c r="L72" i="2"/>
  <c r="Y72" i="2" s="1"/>
  <c r="B164" i="4" s="1"/>
  <c r="S71" i="2"/>
  <c r="AF71" i="2" s="1"/>
  <c r="AG71" i="2" s="1"/>
  <c r="BM71" i="2" s="1"/>
  <c r="R71" i="2"/>
  <c r="AE71" i="2" s="1"/>
  <c r="BJ71" i="2" s="1"/>
  <c r="Q71" i="2"/>
  <c r="AD71" i="2" s="1"/>
  <c r="P71" i="2"/>
  <c r="AC71" i="2" s="1"/>
  <c r="AY71" i="2" s="1"/>
  <c r="O71" i="2"/>
  <c r="AB71" i="2" s="1"/>
  <c r="N71" i="2"/>
  <c r="AA71" i="2" s="1"/>
  <c r="D163" i="4" s="1"/>
  <c r="M71" i="2"/>
  <c r="Z71" i="2" s="1"/>
  <c r="L71" i="2"/>
  <c r="Y71" i="2" s="1"/>
  <c r="B163" i="4" s="1"/>
  <c r="S70" i="2"/>
  <c r="AF70" i="2" s="1"/>
  <c r="AG70" i="2" s="1"/>
  <c r="BM70" i="2" s="1"/>
  <c r="R70" i="2"/>
  <c r="AE70" i="2" s="1"/>
  <c r="BJ70" i="2" s="1"/>
  <c r="Q70" i="2"/>
  <c r="AD70" i="2" s="1"/>
  <c r="P70" i="2"/>
  <c r="AC70" i="2" s="1"/>
  <c r="AY70" i="2" s="1"/>
  <c r="O70" i="2"/>
  <c r="AB70" i="2" s="1"/>
  <c r="N70" i="2"/>
  <c r="AA70" i="2" s="1"/>
  <c r="D162" i="4" s="1"/>
  <c r="M70" i="2"/>
  <c r="Z70" i="2" s="1"/>
  <c r="L70" i="2"/>
  <c r="Y70" i="2" s="1"/>
  <c r="B162" i="4" s="1"/>
  <c r="S69" i="2"/>
  <c r="AF69" i="2" s="1"/>
  <c r="AG69" i="2" s="1"/>
  <c r="BM69" i="2" s="1"/>
  <c r="R69" i="2"/>
  <c r="AE69" i="2" s="1"/>
  <c r="BJ69" i="2" s="1"/>
  <c r="Q69" i="2"/>
  <c r="AD69" i="2" s="1"/>
  <c r="P69" i="2"/>
  <c r="AC69" i="2" s="1"/>
  <c r="AY69" i="2" s="1"/>
  <c r="O69" i="2"/>
  <c r="AB69" i="2" s="1"/>
  <c r="N69" i="2"/>
  <c r="AA69" i="2" s="1"/>
  <c r="D161" i="4" s="1"/>
  <c r="M69" i="2"/>
  <c r="Z69" i="2" s="1"/>
  <c r="L69" i="2"/>
  <c r="Y69" i="2" s="1"/>
  <c r="B161" i="4" s="1"/>
  <c r="S68" i="2"/>
  <c r="AF68" i="2" s="1"/>
  <c r="AG68" i="2" s="1"/>
  <c r="BM68" i="2" s="1"/>
  <c r="R68" i="2"/>
  <c r="AE68" i="2" s="1"/>
  <c r="BJ68" i="2" s="1"/>
  <c r="Q68" i="2"/>
  <c r="AD68" i="2" s="1"/>
  <c r="P68" i="2"/>
  <c r="AC68" i="2" s="1"/>
  <c r="AY68" i="2" s="1"/>
  <c r="O68" i="2"/>
  <c r="AB68" i="2" s="1"/>
  <c r="N68" i="2"/>
  <c r="AA68" i="2" s="1"/>
  <c r="D160" i="4" s="1"/>
  <c r="M68" i="2"/>
  <c r="Z68" i="2" s="1"/>
  <c r="L68" i="2"/>
  <c r="Y68" i="2" s="1"/>
  <c r="B160" i="4" s="1"/>
  <c r="S67" i="2"/>
  <c r="AF67" i="2" s="1"/>
  <c r="AG67" i="2" s="1"/>
  <c r="BM67" i="2" s="1"/>
  <c r="R67" i="2"/>
  <c r="AE67" i="2" s="1"/>
  <c r="BJ67" i="2" s="1"/>
  <c r="Q67" i="2"/>
  <c r="AD67" i="2" s="1"/>
  <c r="P67" i="2"/>
  <c r="AC67" i="2" s="1"/>
  <c r="AY67" i="2" s="1"/>
  <c r="O67" i="2"/>
  <c r="AB67" i="2" s="1"/>
  <c r="N67" i="2"/>
  <c r="AA67" i="2" s="1"/>
  <c r="D159" i="4" s="1"/>
  <c r="M67" i="2"/>
  <c r="Z67" i="2" s="1"/>
  <c r="L67" i="2"/>
  <c r="Y67" i="2" s="1"/>
  <c r="B159" i="4" s="1"/>
  <c r="S66" i="2"/>
  <c r="AF66" i="2" s="1"/>
  <c r="AG66" i="2" s="1"/>
  <c r="BM66" i="2" s="1"/>
  <c r="R66" i="2"/>
  <c r="AE66" i="2" s="1"/>
  <c r="BJ66" i="2" s="1"/>
  <c r="Q66" i="2"/>
  <c r="AD66" i="2" s="1"/>
  <c r="P66" i="2"/>
  <c r="AC66" i="2" s="1"/>
  <c r="AY66" i="2" s="1"/>
  <c r="O66" i="2"/>
  <c r="AB66" i="2" s="1"/>
  <c r="N66" i="2"/>
  <c r="AA66" i="2" s="1"/>
  <c r="D158" i="4" s="1"/>
  <c r="M66" i="2"/>
  <c r="Z66" i="2" s="1"/>
  <c r="L66" i="2"/>
  <c r="Y66" i="2" s="1"/>
  <c r="B158" i="4" s="1"/>
  <c r="S65" i="2"/>
  <c r="AF65" i="2" s="1"/>
  <c r="AG65" i="2" s="1"/>
  <c r="BM65" i="2" s="1"/>
  <c r="R65" i="2"/>
  <c r="AE65" i="2" s="1"/>
  <c r="BJ65" i="2" s="1"/>
  <c r="Q65" i="2"/>
  <c r="AD65" i="2" s="1"/>
  <c r="P65" i="2"/>
  <c r="AC65" i="2" s="1"/>
  <c r="AY65" i="2" s="1"/>
  <c r="O65" i="2"/>
  <c r="AB65" i="2" s="1"/>
  <c r="N65" i="2"/>
  <c r="AA65" i="2" s="1"/>
  <c r="D157" i="4" s="1"/>
  <c r="M65" i="2"/>
  <c r="Z65" i="2" s="1"/>
  <c r="L65" i="2"/>
  <c r="Y65" i="2" s="1"/>
  <c r="B157" i="4" s="1"/>
  <c r="S64" i="2"/>
  <c r="AF64" i="2" s="1"/>
  <c r="AG64" i="2" s="1"/>
  <c r="BM64" i="2" s="1"/>
  <c r="R64" i="2"/>
  <c r="AE64" i="2" s="1"/>
  <c r="BJ64" i="2" s="1"/>
  <c r="Q64" i="2"/>
  <c r="AD64" i="2" s="1"/>
  <c r="P64" i="2"/>
  <c r="AC64" i="2" s="1"/>
  <c r="AY64" i="2" s="1"/>
  <c r="O64" i="2"/>
  <c r="AB64" i="2" s="1"/>
  <c r="N64" i="2"/>
  <c r="AA64" i="2" s="1"/>
  <c r="D156" i="4" s="1"/>
  <c r="M64" i="2"/>
  <c r="Z64" i="2" s="1"/>
  <c r="L64" i="2"/>
  <c r="Y64" i="2" s="1"/>
  <c r="B156" i="4" s="1"/>
  <c r="S63" i="2"/>
  <c r="AF63" i="2" s="1"/>
  <c r="AG63" i="2" s="1"/>
  <c r="BM63" i="2" s="1"/>
  <c r="R63" i="2"/>
  <c r="AE63" i="2" s="1"/>
  <c r="BJ63" i="2" s="1"/>
  <c r="Q63" i="2"/>
  <c r="AD63" i="2" s="1"/>
  <c r="P63" i="2"/>
  <c r="AC63" i="2" s="1"/>
  <c r="AY63" i="2" s="1"/>
  <c r="O63" i="2"/>
  <c r="AB63" i="2" s="1"/>
  <c r="N63" i="2"/>
  <c r="AA63" i="2" s="1"/>
  <c r="D155" i="4" s="1"/>
  <c r="M63" i="2"/>
  <c r="Z63" i="2" s="1"/>
  <c r="L63" i="2"/>
  <c r="Y63" i="2" s="1"/>
  <c r="B155" i="4" s="1"/>
  <c r="S62" i="2"/>
  <c r="AF62" i="2" s="1"/>
  <c r="AG62" i="2" s="1"/>
  <c r="BM62" i="2" s="1"/>
  <c r="R62" i="2"/>
  <c r="AE62" i="2" s="1"/>
  <c r="BJ62" i="2" s="1"/>
  <c r="Q62" i="2"/>
  <c r="AD62" i="2" s="1"/>
  <c r="P62" i="2"/>
  <c r="AC62" i="2" s="1"/>
  <c r="AY62" i="2" s="1"/>
  <c r="O62" i="2"/>
  <c r="AB62" i="2" s="1"/>
  <c r="N62" i="2"/>
  <c r="AA62" i="2" s="1"/>
  <c r="D154" i="4" s="1"/>
  <c r="M62" i="2"/>
  <c r="Z62" i="2" s="1"/>
  <c r="L62" i="2"/>
  <c r="Y62" i="2" s="1"/>
  <c r="B154" i="4" s="1"/>
  <c r="S61" i="2"/>
  <c r="AF61" i="2" s="1"/>
  <c r="AG61" i="2" s="1"/>
  <c r="BM61" i="2" s="1"/>
  <c r="R61" i="2"/>
  <c r="AE61" i="2" s="1"/>
  <c r="BJ61" i="2" s="1"/>
  <c r="Q61" i="2"/>
  <c r="AD61" i="2" s="1"/>
  <c r="P61" i="2"/>
  <c r="AC61" i="2" s="1"/>
  <c r="AY61" i="2" s="1"/>
  <c r="O61" i="2"/>
  <c r="AB61" i="2" s="1"/>
  <c r="N61" i="2"/>
  <c r="AA61" i="2" s="1"/>
  <c r="D153" i="4" s="1"/>
  <c r="M61" i="2"/>
  <c r="Z61" i="2" s="1"/>
  <c r="L61" i="2"/>
  <c r="Y61" i="2" s="1"/>
  <c r="B153" i="4" s="1"/>
  <c r="S60" i="2"/>
  <c r="AF60" i="2" s="1"/>
  <c r="AG60" i="2" s="1"/>
  <c r="BM60" i="2" s="1"/>
  <c r="R60" i="2"/>
  <c r="AE60" i="2" s="1"/>
  <c r="BJ60" i="2" s="1"/>
  <c r="Q60" i="2"/>
  <c r="AD60" i="2" s="1"/>
  <c r="P60" i="2"/>
  <c r="AC60" i="2" s="1"/>
  <c r="AY60" i="2" s="1"/>
  <c r="O60" i="2"/>
  <c r="AB60" i="2" s="1"/>
  <c r="N60" i="2"/>
  <c r="AA60" i="2" s="1"/>
  <c r="D152" i="4" s="1"/>
  <c r="M60" i="2"/>
  <c r="Z60" i="2" s="1"/>
  <c r="L60" i="2"/>
  <c r="Y60" i="2" s="1"/>
  <c r="B152" i="4" s="1"/>
  <c r="S59" i="2"/>
  <c r="AF59" i="2" s="1"/>
  <c r="AG59" i="2" s="1"/>
  <c r="BM59" i="2" s="1"/>
  <c r="R59" i="2"/>
  <c r="AE59" i="2" s="1"/>
  <c r="BJ59" i="2" s="1"/>
  <c r="Q59" i="2"/>
  <c r="AD59" i="2" s="1"/>
  <c r="P59" i="2"/>
  <c r="AC59" i="2" s="1"/>
  <c r="AY59" i="2" s="1"/>
  <c r="O59" i="2"/>
  <c r="AB59" i="2" s="1"/>
  <c r="N59" i="2"/>
  <c r="AA59" i="2" s="1"/>
  <c r="D151" i="4" s="1"/>
  <c r="M59" i="2"/>
  <c r="Z59" i="2" s="1"/>
  <c r="L59" i="2"/>
  <c r="Y59" i="2" s="1"/>
  <c r="B151" i="4" s="1"/>
  <c r="S58" i="2"/>
  <c r="AF58" i="2" s="1"/>
  <c r="AG58" i="2" s="1"/>
  <c r="BM58" i="2" s="1"/>
  <c r="R58" i="2"/>
  <c r="AE58" i="2" s="1"/>
  <c r="BJ58" i="2" s="1"/>
  <c r="Q58" i="2"/>
  <c r="AD58" i="2" s="1"/>
  <c r="P58" i="2"/>
  <c r="AC58" i="2" s="1"/>
  <c r="AY58" i="2" s="1"/>
  <c r="O58" i="2"/>
  <c r="AB58" i="2" s="1"/>
  <c r="N58" i="2"/>
  <c r="AA58" i="2" s="1"/>
  <c r="D150" i="4" s="1"/>
  <c r="M58" i="2"/>
  <c r="Z58" i="2" s="1"/>
  <c r="L58" i="2"/>
  <c r="Y58" i="2" s="1"/>
  <c r="B150" i="4" s="1"/>
  <c r="S57" i="2"/>
  <c r="AF57" i="2" s="1"/>
  <c r="AG57" i="2" s="1"/>
  <c r="BM57" i="2" s="1"/>
  <c r="R57" i="2"/>
  <c r="AE57" i="2" s="1"/>
  <c r="BJ57" i="2" s="1"/>
  <c r="Q57" i="2"/>
  <c r="AD57" i="2" s="1"/>
  <c r="P57" i="2"/>
  <c r="AC57" i="2" s="1"/>
  <c r="AY57" i="2" s="1"/>
  <c r="O57" i="2"/>
  <c r="AB57" i="2" s="1"/>
  <c r="N57" i="2"/>
  <c r="AA57" i="2" s="1"/>
  <c r="D149" i="4" s="1"/>
  <c r="M57" i="2"/>
  <c r="Z57" i="2" s="1"/>
  <c r="L57" i="2"/>
  <c r="Y57" i="2" s="1"/>
  <c r="B149" i="4" s="1"/>
  <c r="S56" i="2"/>
  <c r="AF56" i="2" s="1"/>
  <c r="AG56" i="2" s="1"/>
  <c r="BM56" i="2" s="1"/>
  <c r="R56" i="2"/>
  <c r="AE56" i="2" s="1"/>
  <c r="BJ56" i="2" s="1"/>
  <c r="Q56" i="2"/>
  <c r="AD56" i="2" s="1"/>
  <c r="P56" i="2"/>
  <c r="AC56" i="2" s="1"/>
  <c r="AY56" i="2" s="1"/>
  <c r="O56" i="2"/>
  <c r="AB56" i="2" s="1"/>
  <c r="N56" i="2"/>
  <c r="AA56" i="2" s="1"/>
  <c r="D148" i="4" s="1"/>
  <c r="M56" i="2"/>
  <c r="Z56" i="2" s="1"/>
  <c r="L56" i="2"/>
  <c r="Y56" i="2" s="1"/>
  <c r="B148" i="4" s="1"/>
  <c r="S55" i="2"/>
  <c r="AF55" i="2" s="1"/>
  <c r="AG55" i="2" s="1"/>
  <c r="BM55" i="2" s="1"/>
  <c r="R55" i="2"/>
  <c r="AE55" i="2" s="1"/>
  <c r="BJ55" i="2" s="1"/>
  <c r="Q55" i="2"/>
  <c r="AD55" i="2" s="1"/>
  <c r="P55" i="2"/>
  <c r="AC55" i="2" s="1"/>
  <c r="AY55" i="2" s="1"/>
  <c r="O55" i="2"/>
  <c r="AB55" i="2" s="1"/>
  <c r="N55" i="2"/>
  <c r="AA55" i="2" s="1"/>
  <c r="D147" i="4" s="1"/>
  <c r="M55" i="2"/>
  <c r="Z55" i="2" s="1"/>
  <c r="L55" i="2"/>
  <c r="Y55" i="2" s="1"/>
  <c r="B147" i="4" s="1"/>
  <c r="S54" i="2"/>
  <c r="AF54" i="2" s="1"/>
  <c r="AG54" i="2" s="1"/>
  <c r="BM54" i="2" s="1"/>
  <c r="R54" i="2"/>
  <c r="AE54" i="2" s="1"/>
  <c r="BJ54" i="2" s="1"/>
  <c r="Q54" i="2"/>
  <c r="AD54" i="2" s="1"/>
  <c r="P54" i="2"/>
  <c r="AC54" i="2" s="1"/>
  <c r="AY54" i="2" s="1"/>
  <c r="O54" i="2"/>
  <c r="AB54" i="2" s="1"/>
  <c r="N54" i="2"/>
  <c r="AA54" i="2" s="1"/>
  <c r="D146" i="4" s="1"/>
  <c r="M54" i="2"/>
  <c r="Z54" i="2" s="1"/>
  <c r="L54" i="2"/>
  <c r="Y54" i="2" s="1"/>
  <c r="B146" i="4" s="1"/>
  <c r="S53" i="2"/>
  <c r="AF53" i="2" s="1"/>
  <c r="AG53" i="2" s="1"/>
  <c r="BM53" i="2" s="1"/>
  <c r="R53" i="2"/>
  <c r="AE53" i="2" s="1"/>
  <c r="BJ53" i="2" s="1"/>
  <c r="Q53" i="2"/>
  <c r="AD53" i="2" s="1"/>
  <c r="P53" i="2"/>
  <c r="AC53" i="2" s="1"/>
  <c r="AY53" i="2" s="1"/>
  <c r="O53" i="2"/>
  <c r="AB53" i="2" s="1"/>
  <c r="N53" i="2"/>
  <c r="AA53" i="2" s="1"/>
  <c r="D145" i="4" s="1"/>
  <c r="M53" i="2"/>
  <c r="Z53" i="2" s="1"/>
  <c r="L53" i="2"/>
  <c r="Y53" i="2" s="1"/>
  <c r="B145" i="4" s="1"/>
  <c r="S52" i="2"/>
  <c r="AF52" i="2" s="1"/>
  <c r="AG52" i="2" s="1"/>
  <c r="BM52" i="2" s="1"/>
  <c r="R52" i="2"/>
  <c r="AE52" i="2" s="1"/>
  <c r="BJ52" i="2" s="1"/>
  <c r="Q52" i="2"/>
  <c r="AD52" i="2" s="1"/>
  <c r="P52" i="2"/>
  <c r="AC52" i="2" s="1"/>
  <c r="AY52" i="2" s="1"/>
  <c r="O52" i="2"/>
  <c r="AB52" i="2" s="1"/>
  <c r="N52" i="2"/>
  <c r="AA52" i="2" s="1"/>
  <c r="D144" i="4" s="1"/>
  <c r="M52" i="2"/>
  <c r="Z52" i="2" s="1"/>
  <c r="L52" i="2"/>
  <c r="Y52" i="2" s="1"/>
  <c r="B144" i="4" s="1"/>
  <c r="S51" i="2"/>
  <c r="AF51" i="2" s="1"/>
  <c r="AG51" i="2" s="1"/>
  <c r="BM51" i="2" s="1"/>
  <c r="R51" i="2"/>
  <c r="AE51" i="2" s="1"/>
  <c r="BJ51" i="2" s="1"/>
  <c r="Q51" i="2"/>
  <c r="AD51" i="2" s="1"/>
  <c r="P51" i="2"/>
  <c r="AC51" i="2" s="1"/>
  <c r="AY51" i="2" s="1"/>
  <c r="O51" i="2"/>
  <c r="AB51" i="2" s="1"/>
  <c r="N51" i="2"/>
  <c r="AA51" i="2" s="1"/>
  <c r="D143" i="4" s="1"/>
  <c r="M51" i="2"/>
  <c r="Z51" i="2" s="1"/>
  <c r="L51" i="2"/>
  <c r="Y51" i="2" s="1"/>
  <c r="B143" i="4" s="1"/>
  <c r="S50" i="2"/>
  <c r="AF50" i="2" s="1"/>
  <c r="AG50" i="2" s="1"/>
  <c r="BM50" i="2" s="1"/>
  <c r="R50" i="2"/>
  <c r="AE50" i="2" s="1"/>
  <c r="BJ50" i="2" s="1"/>
  <c r="Q50" i="2"/>
  <c r="AD50" i="2" s="1"/>
  <c r="P50" i="2"/>
  <c r="AC50" i="2" s="1"/>
  <c r="AY50" i="2" s="1"/>
  <c r="O50" i="2"/>
  <c r="AB50" i="2" s="1"/>
  <c r="N50" i="2"/>
  <c r="AA50" i="2" s="1"/>
  <c r="D142" i="4" s="1"/>
  <c r="M50" i="2"/>
  <c r="Z50" i="2" s="1"/>
  <c r="L50" i="2"/>
  <c r="Y50" i="2" s="1"/>
  <c r="B142" i="4" s="1"/>
  <c r="S49" i="2"/>
  <c r="AF49" i="2" s="1"/>
  <c r="AG49" i="2" s="1"/>
  <c r="BM49" i="2" s="1"/>
  <c r="R49" i="2"/>
  <c r="AE49" i="2" s="1"/>
  <c r="BJ49" i="2" s="1"/>
  <c r="Q49" i="2"/>
  <c r="AD49" i="2" s="1"/>
  <c r="P49" i="2"/>
  <c r="AC49" i="2" s="1"/>
  <c r="AY49" i="2" s="1"/>
  <c r="O49" i="2"/>
  <c r="AB49" i="2" s="1"/>
  <c r="N49" i="2"/>
  <c r="AA49" i="2" s="1"/>
  <c r="D141" i="4" s="1"/>
  <c r="M49" i="2"/>
  <c r="Z49" i="2" s="1"/>
  <c r="L49" i="2"/>
  <c r="Y49" i="2" s="1"/>
  <c r="B141" i="4" s="1"/>
  <c r="S48" i="2"/>
  <c r="AF48" i="2" s="1"/>
  <c r="AG48" i="2" s="1"/>
  <c r="BM48" i="2" s="1"/>
  <c r="R48" i="2"/>
  <c r="AE48" i="2" s="1"/>
  <c r="BJ48" i="2" s="1"/>
  <c r="Q48" i="2"/>
  <c r="AD48" i="2" s="1"/>
  <c r="P48" i="2"/>
  <c r="AC48" i="2" s="1"/>
  <c r="AY48" i="2" s="1"/>
  <c r="O48" i="2"/>
  <c r="AB48" i="2" s="1"/>
  <c r="N48" i="2"/>
  <c r="AA48" i="2" s="1"/>
  <c r="D140" i="4" s="1"/>
  <c r="M48" i="2"/>
  <c r="Z48" i="2" s="1"/>
  <c r="L48" i="2"/>
  <c r="Y48" i="2" s="1"/>
  <c r="B140" i="4" s="1"/>
  <c r="S47" i="2"/>
  <c r="AF47" i="2" s="1"/>
  <c r="AG47" i="2" s="1"/>
  <c r="BM47" i="2" s="1"/>
  <c r="R47" i="2"/>
  <c r="AE47" i="2" s="1"/>
  <c r="BJ47" i="2" s="1"/>
  <c r="Q47" i="2"/>
  <c r="AD47" i="2" s="1"/>
  <c r="P47" i="2"/>
  <c r="AC47" i="2" s="1"/>
  <c r="AY47" i="2" s="1"/>
  <c r="O47" i="2"/>
  <c r="AB47" i="2" s="1"/>
  <c r="N47" i="2"/>
  <c r="AA47" i="2" s="1"/>
  <c r="D139" i="4" s="1"/>
  <c r="M47" i="2"/>
  <c r="Z47" i="2" s="1"/>
  <c r="L47" i="2"/>
  <c r="Y47" i="2" s="1"/>
  <c r="B139" i="4" s="1"/>
  <c r="S46" i="2"/>
  <c r="AF46" i="2" s="1"/>
  <c r="AG46" i="2" s="1"/>
  <c r="BM46" i="2" s="1"/>
  <c r="R46" i="2"/>
  <c r="AE46" i="2" s="1"/>
  <c r="BJ46" i="2" s="1"/>
  <c r="Q46" i="2"/>
  <c r="AD46" i="2" s="1"/>
  <c r="P46" i="2"/>
  <c r="AC46" i="2" s="1"/>
  <c r="AY46" i="2" s="1"/>
  <c r="O46" i="2"/>
  <c r="AB46" i="2" s="1"/>
  <c r="N46" i="2"/>
  <c r="AA46" i="2" s="1"/>
  <c r="D138" i="4" s="1"/>
  <c r="M46" i="2"/>
  <c r="Z46" i="2" s="1"/>
  <c r="L46" i="2"/>
  <c r="Y46" i="2" s="1"/>
  <c r="B138" i="4" s="1"/>
  <c r="S45" i="2"/>
  <c r="AF45" i="2" s="1"/>
  <c r="AG45" i="2" s="1"/>
  <c r="BM45" i="2" s="1"/>
  <c r="R45" i="2"/>
  <c r="AE45" i="2" s="1"/>
  <c r="BJ45" i="2" s="1"/>
  <c r="Q45" i="2"/>
  <c r="AD45" i="2" s="1"/>
  <c r="P45" i="2"/>
  <c r="AC45" i="2" s="1"/>
  <c r="AY45" i="2" s="1"/>
  <c r="O45" i="2"/>
  <c r="AB45" i="2" s="1"/>
  <c r="N45" i="2"/>
  <c r="AA45" i="2" s="1"/>
  <c r="D137" i="4" s="1"/>
  <c r="M45" i="2"/>
  <c r="Z45" i="2" s="1"/>
  <c r="L45" i="2"/>
  <c r="Y45" i="2" s="1"/>
  <c r="B137" i="4" s="1"/>
  <c r="S44" i="2"/>
  <c r="AF44" i="2" s="1"/>
  <c r="AG44" i="2" s="1"/>
  <c r="BM44" i="2" s="1"/>
  <c r="R44" i="2"/>
  <c r="AE44" i="2" s="1"/>
  <c r="BJ44" i="2" s="1"/>
  <c r="Q44" i="2"/>
  <c r="AD44" i="2" s="1"/>
  <c r="P44" i="2"/>
  <c r="AC44" i="2" s="1"/>
  <c r="AY44" i="2" s="1"/>
  <c r="O44" i="2"/>
  <c r="AB44" i="2" s="1"/>
  <c r="N44" i="2"/>
  <c r="AA44" i="2" s="1"/>
  <c r="D136" i="4" s="1"/>
  <c r="M44" i="2"/>
  <c r="Z44" i="2" s="1"/>
  <c r="L44" i="2"/>
  <c r="Y44" i="2" s="1"/>
  <c r="B136" i="4" s="1"/>
  <c r="S43" i="2"/>
  <c r="AF43" i="2" s="1"/>
  <c r="AG43" i="2" s="1"/>
  <c r="BM43" i="2" s="1"/>
  <c r="R43" i="2"/>
  <c r="AE43" i="2" s="1"/>
  <c r="BJ43" i="2" s="1"/>
  <c r="Q43" i="2"/>
  <c r="AD43" i="2" s="1"/>
  <c r="P43" i="2"/>
  <c r="AC43" i="2" s="1"/>
  <c r="AY43" i="2" s="1"/>
  <c r="O43" i="2"/>
  <c r="AB43" i="2" s="1"/>
  <c r="N43" i="2"/>
  <c r="AA43" i="2" s="1"/>
  <c r="D135" i="4" s="1"/>
  <c r="M43" i="2"/>
  <c r="Z43" i="2" s="1"/>
  <c r="L43" i="2"/>
  <c r="Y43" i="2" s="1"/>
  <c r="B135" i="4" s="1"/>
  <c r="S42" i="2"/>
  <c r="AF42" i="2" s="1"/>
  <c r="AG42" i="2" s="1"/>
  <c r="BM42" i="2" s="1"/>
  <c r="R42" i="2"/>
  <c r="AE42" i="2" s="1"/>
  <c r="BJ42" i="2" s="1"/>
  <c r="Q42" i="2"/>
  <c r="AD42" i="2" s="1"/>
  <c r="P42" i="2"/>
  <c r="AC42" i="2" s="1"/>
  <c r="AY42" i="2" s="1"/>
  <c r="O42" i="2"/>
  <c r="AB42" i="2" s="1"/>
  <c r="N42" i="2"/>
  <c r="AA42" i="2" s="1"/>
  <c r="D134" i="4" s="1"/>
  <c r="M42" i="2"/>
  <c r="Z42" i="2" s="1"/>
  <c r="L42" i="2"/>
  <c r="Y42" i="2" s="1"/>
  <c r="B134" i="4" s="1"/>
  <c r="S41" i="2"/>
  <c r="AF41" i="2" s="1"/>
  <c r="AG41" i="2" s="1"/>
  <c r="BM41" i="2" s="1"/>
  <c r="R41" i="2"/>
  <c r="AE41" i="2" s="1"/>
  <c r="BJ41" i="2" s="1"/>
  <c r="Q41" i="2"/>
  <c r="AD41" i="2" s="1"/>
  <c r="P41" i="2"/>
  <c r="AC41" i="2" s="1"/>
  <c r="AY41" i="2" s="1"/>
  <c r="O41" i="2"/>
  <c r="AB41" i="2" s="1"/>
  <c r="N41" i="2"/>
  <c r="AA41" i="2" s="1"/>
  <c r="D133" i="4" s="1"/>
  <c r="M41" i="2"/>
  <c r="Z41" i="2" s="1"/>
  <c r="L41" i="2"/>
  <c r="Y41" i="2" s="1"/>
  <c r="B133" i="4" s="1"/>
  <c r="S40" i="2"/>
  <c r="AF40" i="2" s="1"/>
  <c r="AG40" i="2" s="1"/>
  <c r="BM40" i="2" s="1"/>
  <c r="R40" i="2"/>
  <c r="AE40" i="2" s="1"/>
  <c r="BJ40" i="2" s="1"/>
  <c r="Q40" i="2"/>
  <c r="AD40" i="2" s="1"/>
  <c r="P40" i="2"/>
  <c r="AC40" i="2" s="1"/>
  <c r="AY40" i="2" s="1"/>
  <c r="O40" i="2"/>
  <c r="AB40" i="2" s="1"/>
  <c r="N40" i="2"/>
  <c r="AA40" i="2" s="1"/>
  <c r="D132" i="4" s="1"/>
  <c r="M40" i="2"/>
  <c r="Z40" i="2" s="1"/>
  <c r="L40" i="2"/>
  <c r="Y40" i="2" s="1"/>
  <c r="B132" i="4" s="1"/>
  <c r="S39" i="2"/>
  <c r="AF39" i="2" s="1"/>
  <c r="AG39" i="2" s="1"/>
  <c r="BM39" i="2" s="1"/>
  <c r="R39" i="2"/>
  <c r="AE39" i="2" s="1"/>
  <c r="BJ39" i="2" s="1"/>
  <c r="Q39" i="2"/>
  <c r="AD39" i="2" s="1"/>
  <c r="P39" i="2"/>
  <c r="AC39" i="2" s="1"/>
  <c r="AY39" i="2" s="1"/>
  <c r="O39" i="2"/>
  <c r="AB39" i="2" s="1"/>
  <c r="N39" i="2"/>
  <c r="AA39" i="2" s="1"/>
  <c r="D131" i="4" s="1"/>
  <c r="M39" i="2"/>
  <c r="Z39" i="2" s="1"/>
  <c r="L39" i="2"/>
  <c r="Y39" i="2" s="1"/>
  <c r="B131" i="4" s="1"/>
  <c r="S38" i="2"/>
  <c r="AF38" i="2" s="1"/>
  <c r="AG38" i="2" s="1"/>
  <c r="BM38" i="2" s="1"/>
  <c r="R38" i="2"/>
  <c r="AE38" i="2" s="1"/>
  <c r="BJ38" i="2" s="1"/>
  <c r="Q38" i="2"/>
  <c r="AD38" i="2" s="1"/>
  <c r="P38" i="2"/>
  <c r="AC38" i="2" s="1"/>
  <c r="AY38" i="2" s="1"/>
  <c r="O38" i="2"/>
  <c r="AB38" i="2" s="1"/>
  <c r="N38" i="2"/>
  <c r="AA38" i="2" s="1"/>
  <c r="D130" i="4" s="1"/>
  <c r="M38" i="2"/>
  <c r="Z38" i="2" s="1"/>
  <c r="L38" i="2"/>
  <c r="Y38" i="2" s="1"/>
  <c r="B130" i="4" s="1"/>
  <c r="S37" i="2"/>
  <c r="AF37" i="2" s="1"/>
  <c r="AG37" i="2" s="1"/>
  <c r="BM37" i="2" s="1"/>
  <c r="R37" i="2"/>
  <c r="AE37" i="2" s="1"/>
  <c r="BJ37" i="2" s="1"/>
  <c r="Q37" i="2"/>
  <c r="AD37" i="2" s="1"/>
  <c r="P37" i="2"/>
  <c r="AC37" i="2" s="1"/>
  <c r="AY37" i="2" s="1"/>
  <c r="O37" i="2"/>
  <c r="AB37" i="2" s="1"/>
  <c r="N37" i="2"/>
  <c r="AA37" i="2" s="1"/>
  <c r="D129" i="4" s="1"/>
  <c r="M37" i="2"/>
  <c r="Z37" i="2" s="1"/>
  <c r="L37" i="2"/>
  <c r="Y37" i="2" s="1"/>
  <c r="B129" i="4" s="1"/>
  <c r="S36" i="2"/>
  <c r="AF36" i="2" s="1"/>
  <c r="AG36" i="2" s="1"/>
  <c r="BM36" i="2" s="1"/>
  <c r="R36" i="2"/>
  <c r="AE36" i="2" s="1"/>
  <c r="BJ36" i="2" s="1"/>
  <c r="Q36" i="2"/>
  <c r="AD36" i="2" s="1"/>
  <c r="P36" i="2"/>
  <c r="AC36" i="2" s="1"/>
  <c r="AY36" i="2" s="1"/>
  <c r="O36" i="2"/>
  <c r="AB36" i="2" s="1"/>
  <c r="N36" i="2"/>
  <c r="AA36" i="2" s="1"/>
  <c r="D128" i="4" s="1"/>
  <c r="M36" i="2"/>
  <c r="Z36" i="2" s="1"/>
  <c r="L36" i="2"/>
  <c r="Y36" i="2" s="1"/>
  <c r="B128" i="4" s="1"/>
  <c r="S35" i="2"/>
  <c r="AF35" i="2" s="1"/>
  <c r="AG35" i="2" s="1"/>
  <c r="BM35" i="2" s="1"/>
  <c r="R35" i="2"/>
  <c r="AE35" i="2" s="1"/>
  <c r="BJ35" i="2" s="1"/>
  <c r="Q35" i="2"/>
  <c r="AD35" i="2" s="1"/>
  <c r="P35" i="2"/>
  <c r="AC35" i="2" s="1"/>
  <c r="AY35" i="2" s="1"/>
  <c r="O35" i="2"/>
  <c r="AB35" i="2" s="1"/>
  <c r="N35" i="2"/>
  <c r="AA35" i="2" s="1"/>
  <c r="D127" i="4" s="1"/>
  <c r="M35" i="2"/>
  <c r="Z35" i="2" s="1"/>
  <c r="L35" i="2"/>
  <c r="Y35" i="2" s="1"/>
  <c r="B127" i="4" s="1"/>
  <c r="S34" i="2"/>
  <c r="AF34" i="2" s="1"/>
  <c r="AG34" i="2" s="1"/>
  <c r="BM34" i="2" s="1"/>
  <c r="R34" i="2"/>
  <c r="AE34" i="2" s="1"/>
  <c r="BJ34" i="2" s="1"/>
  <c r="Q34" i="2"/>
  <c r="AD34" i="2" s="1"/>
  <c r="P34" i="2"/>
  <c r="AC34" i="2" s="1"/>
  <c r="AY34" i="2" s="1"/>
  <c r="O34" i="2"/>
  <c r="AB34" i="2" s="1"/>
  <c r="N34" i="2"/>
  <c r="AA34" i="2" s="1"/>
  <c r="D126" i="4" s="1"/>
  <c r="M34" i="2"/>
  <c r="Z34" i="2" s="1"/>
  <c r="L34" i="2"/>
  <c r="Y34" i="2" s="1"/>
  <c r="B126" i="4" s="1"/>
  <c r="S33" i="2"/>
  <c r="AF33" i="2" s="1"/>
  <c r="AG33" i="2" s="1"/>
  <c r="BM33" i="2" s="1"/>
  <c r="R33" i="2"/>
  <c r="AE33" i="2" s="1"/>
  <c r="BJ33" i="2" s="1"/>
  <c r="Q33" i="2"/>
  <c r="AD33" i="2" s="1"/>
  <c r="P33" i="2"/>
  <c r="AC33" i="2" s="1"/>
  <c r="AY33" i="2" s="1"/>
  <c r="O33" i="2"/>
  <c r="AB33" i="2" s="1"/>
  <c r="N33" i="2"/>
  <c r="AA33" i="2" s="1"/>
  <c r="D125" i="4" s="1"/>
  <c r="M33" i="2"/>
  <c r="Z33" i="2" s="1"/>
  <c r="L33" i="2"/>
  <c r="Y33" i="2" s="1"/>
  <c r="B125" i="4" s="1"/>
  <c r="S32" i="2"/>
  <c r="AF32" i="2" s="1"/>
  <c r="AG32" i="2" s="1"/>
  <c r="BM32" i="2" s="1"/>
  <c r="R32" i="2"/>
  <c r="AE32" i="2" s="1"/>
  <c r="BJ32" i="2" s="1"/>
  <c r="Q32" i="2"/>
  <c r="AD32" i="2" s="1"/>
  <c r="P32" i="2"/>
  <c r="AC32" i="2" s="1"/>
  <c r="AY32" i="2" s="1"/>
  <c r="O32" i="2"/>
  <c r="AB32" i="2" s="1"/>
  <c r="N32" i="2"/>
  <c r="AA32" i="2" s="1"/>
  <c r="D124" i="4" s="1"/>
  <c r="M32" i="2"/>
  <c r="Z32" i="2" s="1"/>
  <c r="L32" i="2"/>
  <c r="Y32" i="2" s="1"/>
  <c r="B124" i="4" s="1"/>
  <c r="S31" i="2"/>
  <c r="AF31" i="2" s="1"/>
  <c r="AG31" i="2" s="1"/>
  <c r="BM31" i="2" s="1"/>
  <c r="R31" i="2"/>
  <c r="AE31" i="2" s="1"/>
  <c r="BJ31" i="2" s="1"/>
  <c r="Q31" i="2"/>
  <c r="AD31" i="2" s="1"/>
  <c r="P31" i="2"/>
  <c r="AC31" i="2" s="1"/>
  <c r="AY31" i="2" s="1"/>
  <c r="O31" i="2"/>
  <c r="AB31" i="2" s="1"/>
  <c r="N31" i="2"/>
  <c r="AA31" i="2" s="1"/>
  <c r="M31" i="2"/>
  <c r="Z31" i="2" s="1"/>
  <c r="L31" i="2"/>
  <c r="Y31" i="2" s="1"/>
  <c r="B123" i="4" s="1"/>
  <c r="S30" i="2"/>
  <c r="AF30" i="2" s="1"/>
  <c r="AG30" i="2" s="1"/>
  <c r="BM30" i="2" s="1"/>
  <c r="R30" i="2"/>
  <c r="AE30" i="2" s="1"/>
  <c r="BJ30" i="2" s="1"/>
  <c r="Q30" i="2"/>
  <c r="AD30" i="2" s="1"/>
  <c r="P30" i="2"/>
  <c r="AC30" i="2" s="1"/>
  <c r="AY30" i="2" s="1"/>
  <c r="O30" i="2"/>
  <c r="AB30" i="2" s="1"/>
  <c r="N30" i="2"/>
  <c r="AA30" i="2" s="1"/>
  <c r="D122" i="4" s="1"/>
  <c r="M30" i="2"/>
  <c r="Z30" i="2" s="1"/>
  <c r="L30" i="2"/>
  <c r="Y30" i="2" s="1"/>
  <c r="B122" i="4" s="1"/>
  <c r="S29" i="2"/>
  <c r="AF29" i="2" s="1"/>
  <c r="AG29" i="2" s="1"/>
  <c r="BM29" i="2" s="1"/>
  <c r="R29" i="2"/>
  <c r="AE29" i="2" s="1"/>
  <c r="BJ29" i="2" s="1"/>
  <c r="Q29" i="2"/>
  <c r="AD29" i="2" s="1"/>
  <c r="P29" i="2"/>
  <c r="AC29" i="2" s="1"/>
  <c r="AY29" i="2" s="1"/>
  <c r="O29" i="2"/>
  <c r="AB29" i="2" s="1"/>
  <c r="N29" i="2"/>
  <c r="AA29" i="2" s="1"/>
  <c r="D121" i="4" s="1"/>
  <c r="M29" i="2"/>
  <c r="Z29" i="2" s="1"/>
  <c r="L29" i="2"/>
  <c r="Y29" i="2" s="1"/>
  <c r="B121" i="4" s="1"/>
  <c r="AG28" i="2"/>
  <c r="BM28" i="2" s="1"/>
  <c r="R28" i="2"/>
  <c r="AE28" i="2" s="1"/>
  <c r="BJ28" i="2" s="1"/>
  <c r="Q28" i="2"/>
  <c r="AD28" i="2" s="1"/>
  <c r="P28" i="2"/>
  <c r="AC28" i="2" s="1"/>
  <c r="AY28" i="2" s="1"/>
  <c r="O28" i="2"/>
  <c r="AB28" i="2" s="1"/>
  <c r="CB28" i="2" s="1"/>
  <c r="N28" i="2"/>
  <c r="AA28" i="2" s="1"/>
  <c r="M28" i="2"/>
  <c r="Z28" i="2" s="1"/>
  <c r="C120" i="4" s="1"/>
  <c r="AF27" i="2"/>
  <c r="AE27" i="2"/>
  <c r="AD27" i="2"/>
  <c r="AC27" i="2"/>
  <c r="AB27" i="2"/>
  <c r="AA27" i="2"/>
  <c r="Z27" i="2"/>
  <c r="Y27" i="2"/>
  <c r="CD29" i="2" l="1"/>
  <c r="C121" i="4"/>
  <c r="F121" i="4" s="1"/>
  <c r="CD30" i="2"/>
  <c r="C122" i="4"/>
  <c r="CD31" i="2"/>
  <c r="C123" i="4"/>
  <c r="CD32" i="2"/>
  <c r="C124" i="4"/>
  <c r="CD33" i="2"/>
  <c r="C125" i="4"/>
  <c r="CD34" i="2"/>
  <c r="C126" i="4"/>
  <c r="CD35" i="2"/>
  <c r="C127" i="4"/>
  <c r="CD36" i="2"/>
  <c r="C128" i="4"/>
  <c r="CD37" i="2"/>
  <c r="C129" i="4"/>
  <c r="CD38" i="2"/>
  <c r="C130" i="4"/>
  <c r="CD39" i="2"/>
  <c r="C131" i="4"/>
  <c r="CD40" i="2"/>
  <c r="C132" i="4"/>
  <c r="CD41" i="2"/>
  <c r="C133" i="4"/>
  <c r="CD42" i="2"/>
  <c r="C134" i="4"/>
  <c r="CD43" i="2"/>
  <c r="C135" i="4"/>
  <c r="CD44" i="2"/>
  <c r="C136" i="4"/>
  <c r="CD45" i="2"/>
  <c r="C137" i="4"/>
  <c r="CD46" i="2"/>
  <c r="C138" i="4"/>
  <c r="CD47" i="2"/>
  <c r="C139" i="4"/>
  <c r="CD48" i="2"/>
  <c r="C140" i="4"/>
  <c r="CD49" i="2"/>
  <c r="C141" i="4"/>
  <c r="CD50" i="2"/>
  <c r="C142" i="4"/>
  <c r="CD51" i="2"/>
  <c r="C143" i="4"/>
  <c r="CD52" i="2"/>
  <c r="C144" i="4"/>
  <c r="CD53" i="2"/>
  <c r="C145" i="4"/>
  <c r="CD54" i="2"/>
  <c r="C146" i="4"/>
  <c r="CD55" i="2"/>
  <c r="C147" i="4"/>
  <c r="CD56" i="2"/>
  <c r="C148" i="4"/>
  <c r="CD57" i="2"/>
  <c r="C149" i="4"/>
  <c r="CD58" i="2"/>
  <c r="C150" i="4"/>
  <c r="CD59" i="2"/>
  <c r="C151" i="4"/>
  <c r="CD60" i="2"/>
  <c r="C152" i="4"/>
  <c r="CD61" i="2"/>
  <c r="C153" i="4"/>
  <c r="CD62" i="2"/>
  <c r="C154" i="4"/>
  <c r="CD63" i="2"/>
  <c r="C155" i="4"/>
  <c r="CD64" i="2"/>
  <c r="C156" i="4"/>
  <c r="CD65" i="2"/>
  <c r="C157" i="4"/>
  <c r="CD66" i="2"/>
  <c r="C158" i="4"/>
  <c r="CD67" i="2"/>
  <c r="C159" i="4"/>
  <c r="CD68" i="2"/>
  <c r="C160" i="4"/>
  <c r="CD69" i="2"/>
  <c r="C161" i="4"/>
  <c r="CD70" i="2"/>
  <c r="C162" i="4"/>
  <c r="CD71" i="2"/>
  <c r="C163" i="4"/>
  <c r="CD72" i="2"/>
  <c r="C164" i="4"/>
  <c r="CD73" i="2"/>
  <c r="C165" i="4"/>
  <c r="CD74" i="2"/>
  <c r="C166" i="4"/>
  <c r="CD75" i="2"/>
  <c r="C167" i="4"/>
  <c r="CD76" i="2"/>
  <c r="C168" i="4"/>
  <c r="CD77" i="2"/>
  <c r="C169" i="4"/>
  <c r="CD78" i="2"/>
  <c r="C170" i="4"/>
  <c r="CD79" i="2"/>
  <c r="C171" i="4"/>
  <c r="CD80" i="2"/>
  <c r="C172" i="4"/>
  <c r="CD81" i="2"/>
  <c r="C173" i="4"/>
  <c r="CD82" i="2"/>
  <c r="C174" i="4"/>
  <c r="CD83" i="2"/>
  <c r="C175" i="4"/>
  <c r="CD84" i="2"/>
  <c r="C176" i="4"/>
  <c r="CD85" i="2"/>
  <c r="C177" i="4"/>
  <c r="CD86" i="2"/>
  <c r="C178" i="4"/>
  <c r="CD87" i="2"/>
  <c r="C179" i="4"/>
  <c r="CD88" i="2"/>
  <c r="C180" i="4"/>
  <c r="CD89" i="2"/>
  <c r="C181" i="4"/>
  <c r="CD90" i="2"/>
  <c r="C182" i="4"/>
  <c r="CD91" i="2"/>
  <c r="C183" i="4"/>
  <c r="CD92" i="2"/>
  <c r="C184" i="4"/>
  <c r="CD93" i="2"/>
  <c r="C185" i="4"/>
  <c r="CD94" i="2"/>
  <c r="C186" i="4"/>
  <c r="CD95" i="2"/>
  <c r="C187" i="4"/>
  <c r="CD96" i="2"/>
  <c r="C188" i="4"/>
  <c r="CD97" i="2"/>
  <c r="C189" i="4"/>
  <c r="CD98" i="2"/>
  <c r="C190" i="4"/>
  <c r="CD99" i="2"/>
  <c r="C191" i="4"/>
  <c r="CD100" i="2"/>
  <c r="C192" i="4"/>
  <c r="CD101" i="2"/>
  <c r="C193" i="4"/>
  <c r="CD102" i="2"/>
  <c r="C194" i="4"/>
  <c r="CD103" i="2"/>
  <c r="C195" i="4"/>
  <c r="CD104" i="2"/>
  <c r="C196" i="4"/>
  <c r="CD105" i="2"/>
  <c r="C197" i="4"/>
  <c r="CD106" i="2"/>
  <c r="C198" i="4"/>
  <c r="CD107" i="2"/>
  <c r="C199" i="4"/>
  <c r="CD108" i="2"/>
  <c r="C200" i="4"/>
  <c r="CD109" i="2"/>
  <c r="C201" i="4"/>
  <c r="CD110" i="2"/>
  <c r="C202" i="4"/>
  <c r="CD111" i="2"/>
  <c r="C203" i="4"/>
  <c r="CD112" i="2"/>
  <c r="C204" i="4"/>
  <c r="CD113" i="2"/>
  <c r="C205" i="4"/>
  <c r="CD114" i="2"/>
  <c r="C206" i="4"/>
  <c r="CD115" i="2"/>
  <c r="C207" i="4"/>
  <c r="CD116" i="2"/>
  <c r="C208" i="4"/>
  <c r="CD117" i="2"/>
  <c r="C209" i="4"/>
  <c r="CD118" i="2"/>
  <c r="C210" i="4"/>
  <c r="CD119" i="2"/>
  <c r="C211" i="4"/>
  <c r="CD120" i="2"/>
  <c r="C212" i="4"/>
  <c r="CD121" i="2"/>
  <c r="C213" i="4"/>
  <c r="CD122" i="2"/>
  <c r="C214" i="4"/>
  <c r="CD123" i="2"/>
  <c r="C215" i="4"/>
  <c r="CD124" i="2"/>
  <c r="C216" i="4"/>
  <c r="CD125" i="2"/>
  <c r="C217" i="4"/>
  <c r="CD126" i="2"/>
  <c r="C218" i="4"/>
  <c r="CD127" i="2"/>
  <c r="C219" i="4"/>
  <c r="CD128" i="2"/>
  <c r="C220" i="4"/>
  <c r="CD129" i="2"/>
  <c r="C221" i="4"/>
  <c r="CD130" i="2"/>
  <c r="C222" i="4"/>
  <c r="CD131" i="2"/>
  <c r="C223" i="4"/>
  <c r="CD132" i="2"/>
  <c r="C224" i="4"/>
  <c r="CV28" i="2"/>
  <c r="CY28" i="2" s="1"/>
  <c r="D120" i="4"/>
  <c r="E121" i="4"/>
  <c r="O121" i="4" s="1"/>
  <c r="P121" i="4" s="1"/>
  <c r="J121" i="4"/>
  <c r="Z121" i="4"/>
  <c r="E122" i="4"/>
  <c r="O122" i="4" s="1"/>
  <c r="P122" i="4" s="1"/>
  <c r="J122" i="4"/>
  <c r="Z122" i="4"/>
  <c r="BZ31" i="2"/>
  <c r="D123" i="4"/>
  <c r="E124" i="4"/>
  <c r="J124" i="4"/>
  <c r="Z124" i="4"/>
  <c r="E125" i="4"/>
  <c r="J125" i="4"/>
  <c r="Z125" i="4"/>
  <c r="E126" i="4"/>
  <c r="J126" i="4"/>
  <c r="Z126" i="4"/>
  <c r="E127" i="4"/>
  <c r="J127" i="4"/>
  <c r="Z127" i="4"/>
  <c r="E128" i="4"/>
  <c r="J128" i="4"/>
  <c r="Z128" i="4"/>
  <c r="E129" i="4"/>
  <c r="J129" i="4"/>
  <c r="Z129" i="4"/>
  <c r="E130" i="4"/>
  <c r="J130" i="4"/>
  <c r="Z130" i="4"/>
  <c r="E131" i="4"/>
  <c r="J131" i="4"/>
  <c r="Z131" i="4"/>
  <c r="E132" i="4"/>
  <c r="J132" i="4"/>
  <c r="Z132" i="4"/>
  <c r="E133" i="4"/>
  <c r="J133" i="4"/>
  <c r="Z133" i="4"/>
  <c r="E134" i="4"/>
  <c r="J134" i="4"/>
  <c r="Z134" i="4"/>
  <c r="E135" i="4"/>
  <c r="J135" i="4"/>
  <c r="Z135" i="4"/>
  <c r="E136" i="4"/>
  <c r="O136" i="4" s="1"/>
  <c r="P136" i="4" s="1"/>
  <c r="J136" i="4"/>
  <c r="Z136" i="4"/>
  <c r="E137" i="4"/>
  <c r="J137" i="4"/>
  <c r="Z137" i="4"/>
  <c r="E138" i="4"/>
  <c r="J138" i="4"/>
  <c r="Z138" i="4"/>
  <c r="E139" i="4"/>
  <c r="J139" i="4"/>
  <c r="Z139" i="4"/>
  <c r="E140" i="4"/>
  <c r="J140" i="4"/>
  <c r="Z140" i="4"/>
  <c r="E141" i="4"/>
  <c r="J141" i="4"/>
  <c r="Z141" i="4"/>
  <c r="E142" i="4"/>
  <c r="J142" i="4"/>
  <c r="Z142" i="4"/>
  <c r="E143" i="4"/>
  <c r="J143" i="4"/>
  <c r="Z143" i="4"/>
  <c r="E144" i="4"/>
  <c r="J144" i="4"/>
  <c r="Z144" i="4"/>
  <c r="E145" i="4"/>
  <c r="J145" i="4"/>
  <c r="Z145" i="4"/>
  <c r="E146" i="4"/>
  <c r="J146" i="4"/>
  <c r="Z146" i="4"/>
  <c r="E147" i="4"/>
  <c r="J147" i="4"/>
  <c r="Z147" i="4"/>
  <c r="E148" i="4"/>
  <c r="O148" i="4" s="1"/>
  <c r="P148" i="4" s="1"/>
  <c r="J148" i="4"/>
  <c r="Z148" i="4"/>
  <c r="E149" i="4"/>
  <c r="J149" i="4"/>
  <c r="Z149" i="4"/>
  <c r="E150" i="4"/>
  <c r="J150" i="4"/>
  <c r="Z150" i="4"/>
  <c r="E151" i="4"/>
  <c r="J151" i="4"/>
  <c r="Z151" i="4"/>
  <c r="E152" i="4"/>
  <c r="O152" i="4" s="1"/>
  <c r="P152" i="4" s="1"/>
  <c r="J152" i="4"/>
  <c r="Z152" i="4"/>
  <c r="E153" i="4"/>
  <c r="J153" i="4"/>
  <c r="Z153" i="4"/>
  <c r="E154" i="4"/>
  <c r="J154" i="4"/>
  <c r="Z154" i="4"/>
  <c r="E155" i="4"/>
  <c r="J155" i="4"/>
  <c r="Z155" i="4"/>
  <c r="E156" i="4"/>
  <c r="J156" i="4"/>
  <c r="Z156" i="4"/>
  <c r="E157" i="4"/>
  <c r="J157" i="4"/>
  <c r="Z157" i="4"/>
  <c r="E158" i="4"/>
  <c r="J158" i="4"/>
  <c r="Z158" i="4"/>
  <c r="E159" i="4"/>
  <c r="J159" i="4"/>
  <c r="Z159" i="4"/>
  <c r="E160" i="4"/>
  <c r="J160" i="4"/>
  <c r="Z160" i="4"/>
  <c r="E161" i="4"/>
  <c r="J161" i="4"/>
  <c r="Z161" i="4"/>
  <c r="E162" i="4"/>
  <c r="J162" i="4"/>
  <c r="Z162" i="4"/>
  <c r="E163" i="4"/>
  <c r="J163" i="4"/>
  <c r="Z163" i="4"/>
  <c r="E164" i="4"/>
  <c r="O164" i="4" s="1"/>
  <c r="P164" i="4" s="1"/>
  <c r="J164" i="4"/>
  <c r="Z164" i="4"/>
  <c r="E165" i="4"/>
  <c r="J165" i="4"/>
  <c r="Z165" i="4"/>
  <c r="E166" i="4"/>
  <c r="O166" i="4" s="1"/>
  <c r="P166" i="4" s="1"/>
  <c r="J166" i="4"/>
  <c r="Z166" i="4"/>
  <c r="E167" i="4"/>
  <c r="J167" i="4"/>
  <c r="Z167" i="4"/>
  <c r="E168" i="4"/>
  <c r="J168" i="4"/>
  <c r="Z168" i="4"/>
  <c r="E169" i="4"/>
  <c r="J169" i="4"/>
  <c r="Z169" i="4"/>
  <c r="E170" i="4"/>
  <c r="J170" i="4"/>
  <c r="Z170" i="4"/>
  <c r="E171" i="4"/>
  <c r="J171" i="4"/>
  <c r="Z171" i="4"/>
  <c r="E172" i="4"/>
  <c r="O172" i="4" s="1"/>
  <c r="P172" i="4" s="1"/>
  <c r="J172" i="4"/>
  <c r="Z172" i="4"/>
  <c r="E173" i="4"/>
  <c r="J173" i="4"/>
  <c r="Z173" i="4"/>
  <c r="E174" i="4"/>
  <c r="J174" i="4"/>
  <c r="Z174" i="4"/>
  <c r="E175" i="4"/>
  <c r="J175" i="4"/>
  <c r="Z175" i="4"/>
  <c r="E176" i="4"/>
  <c r="J176" i="4"/>
  <c r="Z176" i="4"/>
  <c r="E177" i="4"/>
  <c r="J177" i="4"/>
  <c r="Z177" i="4"/>
  <c r="E178" i="4"/>
  <c r="J178" i="4"/>
  <c r="Z178" i="4"/>
  <c r="E179" i="4"/>
  <c r="J179" i="4"/>
  <c r="Z179" i="4"/>
  <c r="E180" i="4"/>
  <c r="J180" i="4"/>
  <c r="Z180" i="4"/>
  <c r="E181" i="4"/>
  <c r="J181" i="4"/>
  <c r="Z181" i="4"/>
  <c r="E182" i="4"/>
  <c r="O182" i="4" s="1"/>
  <c r="P182" i="4" s="1"/>
  <c r="J182" i="4"/>
  <c r="Z182" i="4"/>
  <c r="E183" i="4"/>
  <c r="J183" i="4"/>
  <c r="Z183" i="4"/>
  <c r="E184" i="4"/>
  <c r="J184" i="4"/>
  <c r="Z184" i="4"/>
  <c r="E185" i="4"/>
  <c r="J185" i="4"/>
  <c r="Z185" i="4"/>
  <c r="E186" i="4"/>
  <c r="J186" i="4"/>
  <c r="Z186" i="4"/>
  <c r="E187" i="4"/>
  <c r="J187" i="4"/>
  <c r="Z187" i="4"/>
  <c r="E188" i="4"/>
  <c r="O188" i="4" s="1"/>
  <c r="P188" i="4" s="1"/>
  <c r="J188" i="4"/>
  <c r="Z188" i="4"/>
  <c r="E189" i="4"/>
  <c r="J189" i="4"/>
  <c r="Z189" i="4"/>
  <c r="E190" i="4"/>
  <c r="J190" i="4"/>
  <c r="Z190" i="4"/>
  <c r="E191" i="4"/>
  <c r="J191" i="4"/>
  <c r="Z191" i="4"/>
  <c r="E192" i="4"/>
  <c r="O192" i="4" s="1"/>
  <c r="P192" i="4" s="1"/>
  <c r="J192" i="4"/>
  <c r="Z192" i="4"/>
  <c r="E193" i="4"/>
  <c r="J193" i="4"/>
  <c r="Z193" i="4"/>
  <c r="E194" i="4"/>
  <c r="J194" i="4"/>
  <c r="Z194" i="4"/>
  <c r="E195" i="4"/>
  <c r="J195" i="4"/>
  <c r="Z195" i="4"/>
  <c r="E196" i="4"/>
  <c r="O196" i="4" s="1"/>
  <c r="P196" i="4" s="1"/>
  <c r="J196" i="4"/>
  <c r="Z196" i="4"/>
  <c r="E197" i="4"/>
  <c r="J197" i="4"/>
  <c r="Z197" i="4"/>
  <c r="E198" i="4"/>
  <c r="J198" i="4"/>
  <c r="Z198" i="4"/>
  <c r="E199" i="4"/>
  <c r="J199" i="4"/>
  <c r="Z199" i="4"/>
  <c r="E200" i="4"/>
  <c r="J200" i="4"/>
  <c r="Z200" i="4"/>
  <c r="E201" i="4"/>
  <c r="J201" i="4"/>
  <c r="Z201" i="4"/>
  <c r="E202" i="4"/>
  <c r="J202" i="4"/>
  <c r="Z202" i="4"/>
  <c r="E203" i="4"/>
  <c r="J203" i="4"/>
  <c r="Z203" i="4"/>
  <c r="E204" i="4"/>
  <c r="J204" i="4"/>
  <c r="Z204" i="4"/>
  <c r="E205" i="4"/>
  <c r="J205" i="4"/>
  <c r="Z205" i="4"/>
  <c r="E206" i="4"/>
  <c r="O206" i="4" s="1"/>
  <c r="P206" i="4" s="1"/>
  <c r="J206" i="4"/>
  <c r="Z206" i="4"/>
  <c r="E207" i="4"/>
  <c r="J207" i="4"/>
  <c r="Z207" i="4"/>
  <c r="E208" i="4"/>
  <c r="J208" i="4"/>
  <c r="Z208" i="4"/>
  <c r="E209" i="4"/>
  <c r="O209" i="4" s="1"/>
  <c r="P209" i="4" s="1"/>
  <c r="J209" i="4"/>
  <c r="Z209" i="4"/>
  <c r="E210" i="4"/>
  <c r="J210" i="4"/>
  <c r="Z210" i="4"/>
  <c r="E211" i="4"/>
  <c r="J211" i="4"/>
  <c r="Z211" i="4"/>
  <c r="E212" i="4"/>
  <c r="J212" i="4"/>
  <c r="Z212" i="4"/>
  <c r="E213" i="4"/>
  <c r="J213" i="4"/>
  <c r="Z213" i="4"/>
  <c r="E214" i="4"/>
  <c r="O214" i="4" s="1"/>
  <c r="P214" i="4" s="1"/>
  <c r="J214" i="4"/>
  <c r="Z214" i="4"/>
  <c r="E215" i="4"/>
  <c r="J215" i="4"/>
  <c r="Z215" i="4"/>
  <c r="E216" i="4"/>
  <c r="J216" i="4"/>
  <c r="Z216" i="4"/>
  <c r="E217" i="4"/>
  <c r="J217" i="4"/>
  <c r="Z217" i="4"/>
  <c r="E218" i="4"/>
  <c r="J218" i="4"/>
  <c r="Z218" i="4"/>
  <c r="E219" i="4"/>
  <c r="J219" i="4"/>
  <c r="Z219" i="4"/>
  <c r="E220" i="4"/>
  <c r="J220" i="4"/>
  <c r="Z220" i="4"/>
  <c r="E221" i="4"/>
  <c r="J221" i="4"/>
  <c r="Z221" i="4"/>
  <c r="E222" i="4"/>
  <c r="J222" i="4"/>
  <c r="Z222" i="4"/>
  <c r="E223" i="4"/>
  <c r="J223" i="4"/>
  <c r="Z223" i="4"/>
  <c r="E224" i="4"/>
  <c r="J224" i="4"/>
  <c r="Z224" i="4"/>
  <c r="I121" i="4"/>
  <c r="Q121" i="4"/>
  <c r="AB121" i="4" s="1"/>
  <c r="I122" i="4"/>
  <c r="Q122" i="4"/>
  <c r="AB122" i="4" s="1"/>
  <c r="I123" i="4"/>
  <c r="Q123" i="4"/>
  <c r="AB123" i="4" s="1"/>
  <c r="I124" i="4"/>
  <c r="Q124" i="4"/>
  <c r="AB124" i="4" s="1"/>
  <c r="I125" i="4"/>
  <c r="Q125" i="4"/>
  <c r="AB125" i="4" s="1"/>
  <c r="I126" i="4"/>
  <c r="Q126" i="4"/>
  <c r="AB126" i="4" s="1"/>
  <c r="I127" i="4"/>
  <c r="Q127" i="4"/>
  <c r="AB127" i="4" s="1"/>
  <c r="I128" i="4"/>
  <c r="Q128" i="4"/>
  <c r="AB128" i="4" s="1"/>
  <c r="I129" i="4"/>
  <c r="Q129" i="4"/>
  <c r="AB129" i="4" s="1"/>
  <c r="I130" i="4"/>
  <c r="Q130" i="4"/>
  <c r="AB130" i="4" s="1"/>
  <c r="I131" i="4"/>
  <c r="Q131" i="4"/>
  <c r="AB131" i="4" s="1"/>
  <c r="I132" i="4"/>
  <c r="Q132" i="4"/>
  <c r="AB132" i="4" s="1"/>
  <c r="I133" i="4"/>
  <c r="Q133" i="4"/>
  <c r="AB133" i="4" s="1"/>
  <c r="I134" i="4"/>
  <c r="Q134" i="4"/>
  <c r="AB134" i="4" s="1"/>
  <c r="I135" i="4"/>
  <c r="Q135" i="4"/>
  <c r="AB135" i="4" s="1"/>
  <c r="I136" i="4"/>
  <c r="Q136" i="4"/>
  <c r="AB136" i="4" s="1"/>
  <c r="I137" i="4"/>
  <c r="Q137" i="4"/>
  <c r="AB137" i="4" s="1"/>
  <c r="I138" i="4"/>
  <c r="Q138" i="4"/>
  <c r="AB138" i="4" s="1"/>
  <c r="I139" i="4"/>
  <c r="Q139" i="4"/>
  <c r="AB139" i="4" s="1"/>
  <c r="I140" i="4"/>
  <c r="Q140" i="4"/>
  <c r="AB140" i="4" s="1"/>
  <c r="I141" i="4"/>
  <c r="Q141" i="4"/>
  <c r="AB141" i="4" s="1"/>
  <c r="I142" i="4"/>
  <c r="Q142" i="4"/>
  <c r="AB142" i="4" s="1"/>
  <c r="I143" i="4"/>
  <c r="Q143" i="4"/>
  <c r="AB143" i="4" s="1"/>
  <c r="I144" i="4"/>
  <c r="Q144" i="4"/>
  <c r="AB144" i="4" s="1"/>
  <c r="I145" i="4"/>
  <c r="Q145" i="4"/>
  <c r="AB145" i="4" s="1"/>
  <c r="I146" i="4"/>
  <c r="Q146" i="4"/>
  <c r="AB146" i="4" s="1"/>
  <c r="I147" i="4"/>
  <c r="Q147" i="4"/>
  <c r="AB147" i="4" s="1"/>
  <c r="I148" i="4"/>
  <c r="Q148" i="4"/>
  <c r="AB148" i="4" s="1"/>
  <c r="I149" i="4"/>
  <c r="Q149" i="4"/>
  <c r="AB149" i="4" s="1"/>
  <c r="I150" i="4"/>
  <c r="Q150" i="4"/>
  <c r="AB150" i="4" s="1"/>
  <c r="I151" i="4"/>
  <c r="Q151" i="4"/>
  <c r="AB151" i="4" s="1"/>
  <c r="I152" i="4"/>
  <c r="Q152" i="4"/>
  <c r="AB152" i="4" s="1"/>
  <c r="I153" i="4"/>
  <c r="Q153" i="4"/>
  <c r="AB153" i="4" s="1"/>
  <c r="I154" i="4"/>
  <c r="Q154" i="4"/>
  <c r="AB154" i="4" s="1"/>
  <c r="I155" i="4"/>
  <c r="Q155" i="4"/>
  <c r="AB155" i="4" s="1"/>
  <c r="I156" i="4"/>
  <c r="Q156" i="4"/>
  <c r="AB156" i="4" s="1"/>
  <c r="I157" i="4"/>
  <c r="Q157" i="4"/>
  <c r="AB157" i="4" s="1"/>
  <c r="I158" i="4"/>
  <c r="Q158" i="4"/>
  <c r="AB158" i="4" s="1"/>
  <c r="I159" i="4"/>
  <c r="Q159" i="4"/>
  <c r="AB159" i="4" s="1"/>
  <c r="I160" i="4"/>
  <c r="Q160" i="4"/>
  <c r="AB160" i="4" s="1"/>
  <c r="I161" i="4"/>
  <c r="Q161" i="4"/>
  <c r="AB161" i="4" s="1"/>
  <c r="I162" i="4"/>
  <c r="Q162" i="4"/>
  <c r="AB162" i="4" s="1"/>
  <c r="I163" i="4"/>
  <c r="Q163" i="4"/>
  <c r="AB163" i="4" s="1"/>
  <c r="I164" i="4"/>
  <c r="Q164" i="4"/>
  <c r="AB164" i="4" s="1"/>
  <c r="I165" i="4"/>
  <c r="Q165" i="4"/>
  <c r="AB165" i="4" s="1"/>
  <c r="I166" i="4"/>
  <c r="Q166" i="4"/>
  <c r="AB166" i="4" s="1"/>
  <c r="I167" i="4"/>
  <c r="Q167" i="4"/>
  <c r="AB167" i="4" s="1"/>
  <c r="I168" i="4"/>
  <c r="Q168" i="4"/>
  <c r="AB168" i="4" s="1"/>
  <c r="I169" i="4"/>
  <c r="Q169" i="4"/>
  <c r="AB169" i="4" s="1"/>
  <c r="I170" i="4"/>
  <c r="Q170" i="4"/>
  <c r="AB170" i="4" s="1"/>
  <c r="I171" i="4"/>
  <c r="Q171" i="4"/>
  <c r="AB171" i="4" s="1"/>
  <c r="I172" i="4"/>
  <c r="Q172" i="4"/>
  <c r="AB172" i="4" s="1"/>
  <c r="I173" i="4"/>
  <c r="Q173" i="4"/>
  <c r="AB173" i="4" s="1"/>
  <c r="I174" i="4"/>
  <c r="Q174" i="4"/>
  <c r="AB174" i="4" s="1"/>
  <c r="I175" i="4"/>
  <c r="Q175" i="4"/>
  <c r="AB175" i="4" s="1"/>
  <c r="I176" i="4"/>
  <c r="Q176" i="4"/>
  <c r="AB176" i="4" s="1"/>
  <c r="I177" i="4"/>
  <c r="Q177" i="4"/>
  <c r="AB177" i="4" s="1"/>
  <c r="I178" i="4"/>
  <c r="Q178" i="4"/>
  <c r="AB178" i="4" s="1"/>
  <c r="I179" i="4"/>
  <c r="Q179" i="4"/>
  <c r="AB179" i="4" s="1"/>
  <c r="I180" i="4"/>
  <c r="Q180" i="4"/>
  <c r="AB180" i="4" s="1"/>
  <c r="I181" i="4"/>
  <c r="Q181" i="4"/>
  <c r="AB181" i="4" s="1"/>
  <c r="I182" i="4"/>
  <c r="Q182" i="4"/>
  <c r="AB182" i="4" s="1"/>
  <c r="I183" i="4"/>
  <c r="Q183" i="4"/>
  <c r="AB183" i="4" s="1"/>
  <c r="I184" i="4"/>
  <c r="Q184" i="4"/>
  <c r="AB184" i="4" s="1"/>
  <c r="I185" i="4"/>
  <c r="Q185" i="4"/>
  <c r="AB185" i="4" s="1"/>
  <c r="I186" i="4"/>
  <c r="Q186" i="4"/>
  <c r="AB186" i="4" s="1"/>
  <c r="I187" i="4"/>
  <c r="Q187" i="4"/>
  <c r="AB187" i="4" s="1"/>
  <c r="I188" i="4"/>
  <c r="Q188" i="4"/>
  <c r="AB188" i="4" s="1"/>
  <c r="I189" i="4"/>
  <c r="Q189" i="4"/>
  <c r="AB189" i="4" s="1"/>
  <c r="I190" i="4"/>
  <c r="Q190" i="4"/>
  <c r="AB190" i="4" s="1"/>
  <c r="I191" i="4"/>
  <c r="Q191" i="4"/>
  <c r="AB191" i="4" s="1"/>
  <c r="I192" i="4"/>
  <c r="Q192" i="4"/>
  <c r="AB192" i="4" s="1"/>
  <c r="I193" i="4"/>
  <c r="Q193" i="4"/>
  <c r="AB193" i="4" s="1"/>
  <c r="I194" i="4"/>
  <c r="Q194" i="4"/>
  <c r="AB194" i="4" s="1"/>
  <c r="I195" i="4"/>
  <c r="Q195" i="4"/>
  <c r="AB195" i="4" s="1"/>
  <c r="I196" i="4"/>
  <c r="Q196" i="4"/>
  <c r="AB196" i="4" s="1"/>
  <c r="I197" i="4"/>
  <c r="Q197" i="4"/>
  <c r="AB197" i="4" s="1"/>
  <c r="I198" i="4"/>
  <c r="Q198" i="4"/>
  <c r="AB198" i="4" s="1"/>
  <c r="I199" i="4"/>
  <c r="Q199" i="4"/>
  <c r="AB199" i="4" s="1"/>
  <c r="I200" i="4"/>
  <c r="Q200" i="4"/>
  <c r="AB200" i="4" s="1"/>
  <c r="I201" i="4"/>
  <c r="Q201" i="4"/>
  <c r="AB201" i="4" s="1"/>
  <c r="I202" i="4"/>
  <c r="Q202" i="4"/>
  <c r="AB202" i="4" s="1"/>
  <c r="I203" i="4"/>
  <c r="Q203" i="4"/>
  <c r="AB203" i="4" s="1"/>
  <c r="I204" i="4"/>
  <c r="Q204" i="4"/>
  <c r="AB204" i="4" s="1"/>
  <c r="I205" i="4"/>
  <c r="Q205" i="4"/>
  <c r="AB205" i="4" s="1"/>
  <c r="I206" i="4"/>
  <c r="Q206" i="4"/>
  <c r="AB206" i="4" s="1"/>
  <c r="I207" i="4"/>
  <c r="Q207" i="4"/>
  <c r="AB207" i="4" s="1"/>
  <c r="I208" i="4"/>
  <c r="Q208" i="4"/>
  <c r="AB208" i="4" s="1"/>
  <c r="I209" i="4"/>
  <c r="Q209" i="4"/>
  <c r="AB209" i="4" s="1"/>
  <c r="I210" i="4"/>
  <c r="Q210" i="4"/>
  <c r="AB210" i="4" s="1"/>
  <c r="I211" i="4"/>
  <c r="Q211" i="4"/>
  <c r="AB211" i="4" s="1"/>
  <c r="I212" i="4"/>
  <c r="Q212" i="4"/>
  <c r="AB212" i="4" s="1"/>
  <c r="I213" i="4"/>
  <c r="Q213" i="4"/>
  <c r="AB213" i="4" s="1"/>
  <c r="I214" i="4"/>
  <c r="Q214" i="4"/>
  <c r="AB214" i="4" s="1"/>
  <c r="I215" i="4"/>
  <c r="Q215" i="4"/>
  <c r="AB215" i="4" s="1"/>
  <c r="I216" i="4"/>
  <c r="Q216" i="4"/>
  <c r="AB216" i="4" s="1"/>
  <c r="I217" i="4"/>
  <c r="Q217" i="4"/>
  <c r="AB217" i="4" s="1"/>
  <c r="I218" i="4"/>
  <c r="Q218" i="4"/>
  <c r="AB218" i="4" s="1"/>
  <c r="I219" i="4"/>
  <c r="Q219" i="4"/>
  <c r="AB219" i="4" s="1"/>
  <c r="I220" i="4"/>
  <c r="Q220" i="4"/>
  <c r="AB220" i="4" s="1"/>
  <c r="I221" i="4"/>
  <c r="Q221" i="4"/>
  <c r="AB221" i="4" s="1"/>
  <c r="I222" i="4"/>
  <c r="Q222" i="4"/>
  <c r="AB222" i="4" s="1"/>
  <c r="I223" i="4"/>
  <c r="Q223" i="4"/>
  <c r="AB223" i="4" s="1"/>
  <c r="I224" i="4"/>
  <c r="Q224" i="4"/>
  <c r="AB224" i="4" s="1"/>
  <c r="C9" i="2"/>
  <c r="C16" i="2"/>
  <c r="C14" i="2"/>
  <c r="C15" i="2"/>
  <c r="C13" i="2"/>
  <c r="C12" i="2"/>
  <c r="CV80" i="2"/>
  <c r="CY80" i="2" s="1"/>
  <c r="CV82" i="2"/>
  <c r="CV83" i="2"/>
  <c r="CY83" i="2" s="1"/>
  <c r="CV85" i="2"/>
  <c r="CY85" i="2" s="1"/>
  <c r="CV87" i="2"/>
  <c r="CY87" i="2" s="1"/>
  <c r="CV89" i="2"/>
  <c r="CY89" i="2" s="1"/>
  <c r="CV91" i="2"/>
  <c r="CV93" i="2"/>
  <c r="CY93" i="2" s="1"/>
  <c r="CV95" i="2"/>
  <c r="CV97" i="2"/>
  <c r="CY97" i="2" s="1"/>
  <c r="CV99" i="2"/>
  <c r="CY99" i="2" s="1"/>
  <c r="CV101" i="2"/>
  <c r="CY101" i="2" s="1"/>
  <c r="CV103" i="2"/>
  <c r="CY103" i="2" s="1"/>
  <c r="CV105" i="2"/>
  <c r="CY105" i="2" s="1"/>
  <c r="CV106" i="2"/>
  <c r="CV107" i="2"/>
  <c r="CY107" i="2" s="1"/>
  <c r="CV109" i="2"/>
  <c r="CV110" i="2"/>
  <c r="CV111" i="2"/>
  <c r="CY111" i="2" s="1"/>
  <c r="CV112" i="2"/>
  <c r="CV113" i="2"/>
  <c r="CV114" i="2"/>
  <c r="CY114" i="2" s="1"/>
  <c r="CV115" i="2"/>
  <c r="CY115" i="2" s="1"/>
  <c r="CV116" i="2"/>
  <c r="CY116" i="2" s="1"/>
  <c r="CV117" i="2"/>
  <c r="CY117" i="2" s="1"/>
  <c r="CV118" i="2"/>
  <c r="CV119" i="2"/>
  <c r="CY119" i="2" s="1"/>
  <c r="CV120" i="2"/>
  <c r="CY120" i="2" s="1"/>
  <c r="CV121" i="2"/>
  <c r="CV122" i="2"/>
  <c r="CV123" i="2"/>
  <c r="CV124" i="2"/>
  <c r="CY124" i="2" s="1"/>
  <c r="CV125" i="2"/>
  <c r="CY125" i="2" s="1"/>
  <c r="CV126" i="2"/>
  <c r="CY126" i="2" s="1"/>
  <c r="CV127" i="2"/>
  <c r="CV128" i="2"/>
  <c r="CV129" i="2"/>
  <c r="CY129" i="2" s="1"/>
  <c r="CV130" i="2"/>
  <c r="CV131" i="2"/>
  <c r="CV132" i="2"/>
  <c r="CY132" i="2" s="1"/>
  <c r="CV79" i="2"/>
  <c r="CY79" i="2" s="1"/>
  <c r="CV81" i="2"/>
  <c r="CW81" i="2" s="1"/>
  <c r="CZ81" i="2" s="1"/>
  <c r="CV84" i="2"/>
  <c r="CY84" i="2" s="1"/>
  <c r="CV86" i="2"/>
  <c r="CY86" i="2" s="1"/>
  <c r="CV88" i="2"/>
  <c r="CY88" i="2" s="1"/>
  <c r="CV90" i="2"/>
  <c r="CY90" i="2" s="1"/>
  <c r="CV92" i="2"/>
  <c r="CY92" i="2" s="1"/>
  <c r="CV94" i="2"/>
  <c r="CY94" i="2" s="1"/>
  <c r="CV96" i="2"/>
  <c r="CY96" i="2" s="1"/>
  <c r="CV98" i="2"/>
  <c r="CY98" i="2" s="1"/>
  <c r="CV100" i="2"/>
  <c r="CY100" i="2" s="1"/>
  <c r="CV102" i="2"/>
  <c r="CV104" i="2"/>
  <c r="CY104" i="2" s="1"/>
  <c r="CV108" i="2"/>
  <c r="CY108" i="2" s="1"/>
  <c r="CV29" i="2"/>
  <c r="CW28" i="2" s="1"/>
  <c r="CV30" i="2"/>
  <c r="CY30" i="2" s="1"/>
  <c r="CV31" i="2"/>
  <c r="CY31" i="2" s="1"/>
  <c r="CV32" i="2"/>
  <c r="CY32" i="2" s="1"/>
  <c r="CV33" i="2"/>
  <c r="CY33" i="2" s="1"/>
  <c r="CV34" i="2"/>
  <c r="CV35" i="2"/>
  <c r="CV36" i="2"/>
  <c r="CV37" i="2"/>
  <c r="CY37" i="2" s="1"/>
  <c r="CV38" i="2"/>
  <c r="CY38" i="2" s="1"/>
  <c r="CV39" i="2"/>
  <c r="CY39" i="2" s="1"/>
  <c r="CV40" i="2"/>
  <c r="CV41" i="2"/>
  <c r="CY41" i="2" s="1"/>
  <c r="CV43" i="2"/>
  <c r="CY43" i="2" s="1"/>
  <c r="CV44" i="2"/>
  <c r="CV45" i="2"/>
  <c r="CY45" i="2" s="1"/>
  <c r="CV46" i="2"/>
  <c r="CY46" i="2" s="1"/>
  <c r="CV47" i="2"/>
  <c r="CY47" i="2" s="1"/>
  <c r="CV48" i="2"/>
  <c r="CY48" i="2" s="1"/>
  <c r="CV49" i="2"/>
  <c r="CV50" i="2"/>
  <c r="CV51" i="2"/>
  <c r="CV54" i="2"/>
  <c r="CY54" i="2" s="1"/>
  <c r="CV55" i="2"/>
  <c r="CV56" i="2"/>
  <c r="CY56" i="2" s="1"/>
  <c r="CV57" i="2"/>
  <c r="CY57" i="2" s="1"/>
  <c r="CV58" i="2"/>
  <c r="CV59" i="2"/>
  <c r="CY59" i="2" s="1"/>
  <c r="CV60" i="2"/>
  <c r="CY60" i="2" s="1"/>
  <c r="CV61" i="2"/>
  <c r="CY61" i="2" s="1"/>
  <c r="CV62" i="2"/>
  <c r="CV63" i="2"/>
  <c r="CY63" i="2" s="1"/>
  <c r="CV64" i="2"/>
  <c r="CV65" i="2"/>
  <c r="CY65" i="2" s="1"/>
  <c r="CV66" i="2"/>
  <c r="CY66" i="2" s="1"/>
  <c r="CV67" i="2"/>
  <c r="CV68" i="2"/>
  <c r="CV69" i="2"/>
  <c r="CY69" i="2" s="1"/>
  <c r="CV70" i="2"/>
  <c r="CY70" i="2" s="1"/>
  <c r="CV71" i="2"/>
  <c r="CY71" i="2" s="1"/>
  <c r="CV72" i="2"/>
  <c r="CY72" i="2" s="1"/>
  <c r="CV73" i="2"/>
  <c r="CY73" i="2" s="1"/>
  <c r="CV74" i="2"/>
  <c r="CY74" i="2" s="1"/>
  <c r="CV75" i="2"/>
  <c r="CY75" i="2" s="1"/>
  <c r="CV76" i="2"/>
  <c r="CY76" i="2" s="1"/>
  <c r="CV77" i="2"/>
  <c r="CY77" i="2" s="1"/>
  <c r="CV78" i="2"/>
  <c r="CY78" i="2" s="1"/>
  <c r="CC137" i="2"/>
  <c r="CV137" i="2"/>
  <c r="CE137" i="2"/>
  <c r="CC141" i="2"/>
  <c r="CV141" i="2"/>
  <c r="CE141" i="2"/>
  <c r="CV145" i="2"/>
  <c r="CE145" i="2"/>
  <c r="CV149" i="2"/>
  <c r="CE149" i="2"/>
  <c r="CV154" i="2"/>
  <c r="CE154" i="2"/>
  <c r="CV158" i="2"/>
  <c r="CE158" i="2"/>
  <c r="CC136" i="2"/>
  <c r="CV136" i="2"/>
  <c r="CE136" i="2"/>
  <c r="CC140" i="2"/>
  <c r="CV140" i="2"/>
  <c r="CE140" i="2"/>
  <c r="CV144" i="2"/>
  <c r="CE144" i="2"/>
  <c r="CV148" i="2"/>
  <c r="CE148" i="2"/>
  <c r="CV152" i="2"/>
  <c r="CE152" i="2"/>
  <c r="CV157" i="2"/>
  <c r="CE157" i="2"/>
  <c r="CC133" i="2"/>
  <c r="CV133" i="2"/>
  <c r="CE133" i="2"/>
  <c r="CC135" i="2"/>
  <c r="CV135" i="2"/>
  <c r="CE135" i="2"/>
  <c r="CC139" i="2"/>
  <c r="CV139" i="2"/>
  <c r="CE139" i="2"/>
  <c r="CV143" i="2"/>
  <c r="CE143" i="2"/>
  <c r="CV147" i="2"/>
  <c r="CE147" i="2"/>
  <c r="CV151" i="2"/>
  <c r="CE151" i="2"/>
  <c r="CV155" i="2"/>
  <c r="CE155" i="2"/>
  <c r="CV159" i="2"/>
  <c r="CE159" i="2"/>
  <c r="CC134" i="2"/>
  <c r="CV134" i="2"/>
  <c r="CE134" i="2"/>
  <c r="CC138" i="2"/>
  <c r="CV138" i="2"/>
  <c r="CE138" i="2"/>
  <c r="CC142" i="2"/>
  <c r="CV142" i="2"/>
  <c r="CE142" i="2"/>
  <c r="CV146" i="2"/>
  <c r="CE146" i="2"/>
  <c r="CV150" i="2"/>
  <c r="CE150" i="2"/>
  <c r="CV153" i="2"/>
  <c r="CE153" i="2"/>
  <c r="CV156" i="2"/>
  <c r="CE156" i="2"/>
  <c r="CV52" i="2"/>
  <c r="CY52" i="2" s="1"/>
  <c r="CV53" i="2"/>
  <c r="CY53" i="2" s="1"/>
  <c r="CV42" i="2"/>
  <c r="CY109" i="2"/>
  <c r="S3" i="1"/>
  <c r="CD28" i="2"/>
  <c r="CC29" i="2"/>
  <c r="CE29" i="2"/>
  <c r="CC30" i="2"/>
  <c r="CE30" i="2"/>
  <c r="CC31" i="2"/>
  <c r="CE31" i="2"/>
  <c r="CC32" i="2"/>
  <c r="CE32" i="2"/>
  <c r="CC33" i="2"/>
  <c r="CE33" i="2"/>
  <c r="CC34" i="2"/>
  <c r="CE34" i="2"/>
  <c r="CC35" i="2"/>
  <c r="CE35" i="2"/>
  <c r="CC36" i="2"/>
  <c r="CE36" i="2"/>
  <c r="CC37" i="2"/>
  <c r="CE37" i="2"/>
  <c r="CC38" i="2"/>
  <c r="CE38" i="2"/>
  <c r="CC39" i="2"/>
  <c r="CE39" i="2"/>
  <c r="CC40" i="2"/>
  <c r="CE40" i="2"/>
  <c r="CC41" i="2"/>
  <c r="CE41" i="2"/>
  <c r="CC42" i="2"/>
  <c r="CE42" i="2"/>
  <c r="CC43" i="2"/>
  <c r="CE43" i="2"/>
  <c r="CC44" i="2"/>
  <c r="CE44" i="2"/>
  <c r="CC45" i="2"/>
  <c r="CE45" i="2"/>
  <c r="CC46" i="2"/>
  <c r="CE46" i="2"/>
  <c r="CC47" i="2"/>
  <c r="CE47" i="2"/>
  <c r="CC48" i="2"/>
  <c r="CE48" i="2"/>
  <c r="CC49" i="2"/>
  <c r="CE49" i="2"/>
  <c r="CC50" i="2"/>
  <c r="CE50" i="2"/>
  <c r="CC51" i="2"/>
  <c r="CE51" i="2"/>
  <c r="CC52" i="2"/>
  <c r="CE52" i="2"/>
  <c r="CC53" i="2"/>
  <c r="CE53" i="2"/>
  <c r="CC54" i="2"/>
  <c r="CE54" i="2"/>
  <c r="CC55" i="2"/>
  <c r="CE55" i="2"/>
  <c r="CC56" i="2"/>
  <c r="CE56" i="2"/>
  <c r="CC57" i="2"/>
  <c r="CE57" i="2"/>
  <c r="CC58" i="2"/>
  <c r="CE58" i="2"/>
  <c r="CC59" i="2"/>
  <c r="CE59" i="2"/>
  <c r="CC60" i="2"/>
  <c r="CE60" i="2"/>
  <c r="CC61" i="2"/>
  <c r="CE61" i="2"/>
  <c r="CC62" i="2"/>
  <c r="CE62" i="2"/>
  <c r="CC63" i="2"/>
  <c r="CE63" i="2"/>
  <c r="CC64" i="2"/>
  <c r="CE64" i="2"/>
  <c r="CC65" i="2"/>
  <c r="CE65" i="2"/>
  <c r="CC66" i="2"/>
  <c r="CE66" i="2"/>
  <c r="CC67" i="2"/>
  <c r="CE67" i="2"/>
  <c r="CC68" i="2"/>
  <c r="CE68" i="2"/>
  <c r="CC69" i="2"/>
  <c r="CE69" i="2"/>
  <c r="CC70" i="2"/>
  <c r="CE70" i="2"/>
  <c r="CC71" i="2"/>
  <c r="CE71" i="2"/>
  <c r="CC72" i="2"/>
  <c r="CE72" i="2"/>
  <c r="CC73" i="2"/>
  <c r="CE73" i="2"/>
  <c r="CC74" i="2"/>
  <c r="CE74" i="2"/>
  <c r="CC75" i="2"/>
  <c r="CE75" i="2"/>
  <c r="CC76" i="2"/>
  <c r="CE76" i="2"/>
  <c r="CC77" i="2"/>
  <c r="CE77" i="2"/>
  <c r="CC78" i="2"/>
  <c r="CE78" i="2"/>
  <c r="CC79" i="2"/>
  <c r="CE79" i="2"/>
  <c r="CC80" i="2"/>
  <c r="CE80" i="2"/>
  <c r="CC81" i="2"/>
  <c r="CE81" i="2"/>
  <c r="CC82" i="2"/>
  <c r="CE82" i="2"/>
  <c r="CC83" i="2"/>
  <c r="CE83" i="2"/>
  <c r="CC84" i="2"/>
  <c r="CE84" i="2"/>
  <c r="CC85" i="2"/>
  <c r="CE85" i="2"/>
  <c r="CC86" i="2"/>
  <c r="CE86" i="2"/>
  <c r="CC87" i="2"/>
  <c r="CE87" i="2"/>
  <c r="CC88" i="2"/>
  <c r="CE88" i="2"/>
  <c r="CC89" i="2"/>
  <c r="CE89" i="2"/>
  <c r="CC90" i="2"/>
  <c r="CE90" i="2"/>
  <c r="CC91" i="2"/>
  <c r="CE91" i="2"/>
  <c r="CC92" i="2"/>
  <c r="CE92" i="2"/>
  <c r="CC93" i="2"/>
  <c r="CE93" i="2"/>
  <c r="CC94" i="2"/>
  <c r="CE94" i="2"/>
  <c r="CC95" i="2"/>
  <c r="CE95" i="2"/>
  <c r="CC96" i="2"/>
  <c r="CE96" i="2"/>
  <c r="CC97" i="2"/>
  <c r="CE97" i="2"/>
  <c r="CC98" i="2"/>
  <c r="CE98" i="2"/>
  <c r="CC99" i="2"/>
  <c r="CE99" i="2"/>
  <c r="CC100" i="2"/>
  <c r="CE100" i="2"/>
  <c r="CC101" i="2"/>
  <c r="CE101" i="2"/>
  <c r="CC102" i="2"/>
  <c r="CE102" i="2"/>
  <c r="CC103" i="2"/>
  <c r="CE103" i="2"/>
  <c r="CC104" i="2"/>
  <c r="CE104" i="2"/>
  <c r="CC105" i="2"/>
  <c r="CE105" i="2"/>
  <c r="CC106" i="2"/>
  <c r="CE106" i="2"/>
  <c r="CC107" i="2"/>
  <c r="CE107" i="2"/>
  <c r="CC108" i="2"/>
  <c r="CE108" i="2"/>
  <c r="CC109" i="2"/>
  <c r="CE109" i="2"/>
  <c r="CC110" i="2"/>
  <c r="CE110" i="2"/>
  <c r="CC111" i="2"/>
  <c r="CE111" i="2"/>
  <c r="CC112" i="2"/>
  <c r="CE112" i="2"/>
  <c r="CC113" i="2"/>
  <c r="CE113" i="2"/>
  <c r="CC114" i="2"/>
  <c r="CE114" i="2"/>
  <c r="CC115" i="2"/>
  <c r="CE115" i="2"/>
  <c r="CC116" i="2"/>
  <c r="CE116" i="2"/>
  <c r="CC117" i="2"/>
  <c r="CE117" i="2"/>
  <c r="CC118" i="2"/>
  <c r="CE118" i="2"/>
  <c r="CC119" i="2"/>
  <c r="CE119" i="2"/>
  <c r="CC120" i="2"/>
  <c r="CE120" i="2"/>
  <c r="CC121" i="2"/>
  <c r="CE121" i="2"/>
  <c r="CC122" i="2"/>
  <c r="CE122" i="2"/>
  <c r="CC123" i="2"/>
  <c r="CE123" i="2"/>
  <c r="CC124" i="2"/>
  <c r="CE124" i="2"/>
  <c r="CC125" i="2"/>
  <c r="CE125" i="2"/>
  <c r="CC126" i="2"/>
  <c r="CE126" i="2"/>
  <c r="CC127" i="2"/>
  <c r="CE127" i="2"/>
  <c r="CC128" i="2"/>
  <c r="CE128" i="2"/>
  <c r="CC129" i="2"/>
  <c r="CE129" i="2"/>
  <c r="CC130" i="2"/>
  <c r="CE130" i="2"/>
  <c r="CC131" i="2"/>
  <c r="CE131" i="2"/>
  <c r="CC132" i="2"/>
  <c r="CE132" i="2"/>
  <c r="AP143" i="2"/>
  <c r="CB143" i="2"/>
  <c r="AV144" i="2"/>
  <c r="CC144" i="2"/>
  <c r="CA144" i="2"/>
  <c r="AR145" i="2"/>
  <c r="BZ145" i="2"/>
  <c r="AR143" i="2"/>
  <c r="BZ143" i="2"/>
  <c r="AV146" i="2"/>
  <c r="CC146" i="2"/>
  <c r="CA146" i="2"/>
  <c r="AV147" i="2"/>
  <c r="CC147" i="2"/>
  <c r="CA147" i="2"/>
  <c r="AV148" i="2"/>
  <c r="CC148" i="2"/>
  <c r="CA148" i="2"/>
  <c r="AV149" i="2"/>
  <c r="CC149" i="2"/>
  <c r="CA149" i="2"/>
  <c r="AV150" i="2"/>
  <c r="CC150" i="2"/>
  <c r="CA150" i="2"/>
  <c r="AV151" i="2"/>
  <c r="CC151" i="2"/>
  <c r="CA151" i="2"/>
  <c r="AP151" i="2"/>
  <c r="CB151" i="2"/>
  <c r="AV145" i="2"/>
  <c r="CC145" i="2"/>
  <c r="CA145" i="2"/>
  <c r="AP133" i="2"/>
  <c r="CB133" i="2"/>
  <c r="AP134" i="2"/>
  <c r="CB134" i="2"/>
  <c r="AP135" i="2"/>
  <c r="CB135" i="2"/>
  <c r="AP136" i="2"/>
  <c r="CB136" i="2"/>
  <c r="AP137" i="2"/>
  <c r="CB137" i="2"/>
  <c r="AP138" i="2"/>
  <c r="CB138" i="2"/>
  <c r="AP139" i="2"/>
  <c r="CB139" i="2"/>
  <c r="AP140" i="2"/>
  <c r="CB140" i="2"/>
  <c r="AP141" i="2"/>
  <c r="CB141" i="2"/>
  <c r="AP142" i="2"/>
  <c r="CB142" i="2"/>
  <c r="AR144" i="2"/>
  <c r="BZ144" i="2"/>
  <c r="AV152" i="2"/>
  <c r="CC152" i="2"/>
  <c r="CA152" i="2"/>
  <c r="AV153" i="2"/>
  <c r="CC153" i="2"/>
  <c r="CA153" i="2"/>
  <c r="AV154" i="2"/>
  <c r="CC154" i="2"/>
  <c r="CA154" i="2"/>
  <c r="AV155" i="2"/>
  <c r="CC155" i="2"/>
  <c r="CA155" i="2"/>
  <c r="AV156" i="2"/>
  <c r="CC156" i="2"/>
  <c r="CA156" i="2"/>
  <c r="AV157" i="2"/>
  <c r="CC157" i="2"/>
  <c r="CA157" i="2"/>
  <c r="AV158" i="2"/>
  <c r="CC158" i="2"/>
  <c r="CA158" i="2"/>
  <c r="AV159" i="2"/>
  <c r="CC159" i="2"/>
  <c r="CA159" i="2"/>
  <c r="AV143" i="2"/>
  <c r="CC143" i="2"/>
  <c r="CA143" i="2"/>
  <c r="AP144" i="2"/>
  <c r="CB144" i="2"/>
  <c r="AR146" i="2"/>
  <c r="BZ146" i="2"/>
  <c r="AR148" i="2"/>
  <c r="BZ148" i="2"/>
  <c r="AR150" i="2"/>
  <c r="BZ150" i="2"/>
  <c r="AP146" i="2"/>
  <c r="CB146" i="2"/>
  <c r="AP147" i="2"/>
  <c r="CB147" i="2"/>
  <c r="AP148" i="2"/>
  <c r="CB148" i="2"/>
  <c r="AP149" i="2"/>
  <c r="CB149" i="2"/>
  <c r="AP150" i="2"/>
  <c r="CB150" i="2"/>
  <c r="AR152" i="2"/>
  <c r="BZ152" i="2"/>
  <c r="AR153" i="2"/>
  <c r="BZ153" i="2"/>
  <c r="AR154" i="2"/>
  <c r="BZ154" i="2"/>
  <c r="AR155" i="2"/>
  <c r="BZ155" i="2"/>
  <c r="AR156" i="2"/>
  <c r="BZ156" i="2"/>
  <c r="AR157" i="2"/>
  <c r="BZ157" i="2"/>
  <c r="AR158" i="2"/>
  <c r="BZ158" i="2"/>
  <c r="AR159" i="2"/>
  <c r="BZ159" i="2"/>
  <c r="AP145" i="2"/>
  <c r="CB145" i="2"/>
  <c r="AR147" i="2"/>
  <c r="BZ147" i="2"/>
  <c r="AR149" i="2"/>
  <c r="BZ149" i="2"/>
  <c r="AR151" i="2"/>
  <c r="BZ151" i="2"/>
  <c r="AP152" i="2"/>
  <c r="CB152" i="2"/>
  <c r="AP153" i="2"/>
  <c r="CB153" i="2"/>
  <c r="AP154" i="2"/>
  <c r="CB154" i="2"/>
  <c r="AP155" i="2"/>
  <c r="CB155" i="2"/>
  <c r="AP156" i="2"/>
  <c r="CB156" i="2"/>
  <c r="AP157" i="2"/>
  <c r="CB157" i="2"/>
  <c r="AP158" i="2"/>
  <c r="CB158" i="2"/>
  <c r="AP159" i="2"/>
  <c r="CB159" i="2"/>
  <c r="AP30" i="2"/>
  <c r="CB30" i="2"/>
  <c r="AP34" i="2"/>
  <c r="CB34" i="2"/>
  <c r="AP38" i="2"/>
  <c r="CB38" i="2"/>
  <c r="AP42" i="2"/>
  <c r="CB42" i="2"/>
  <c r="AP46" i="2"/>
  <c r="CB46" i="2"/>
  <c r="AP50" i="2"/>
  <c r="CB50" i="2"/>
  <c r="AP54" i="2"/>
  <c r="CB54" i="2"/>
  <c r="AP57" i="2"/>
  <c r="CB57" i="2"/>
  <c r="AP62" i="2"/>
  <c r="CB62" i="2"/>
  <c r="AP66" i="2"/>
  <c r="CB66" i="2"/>
  <c r="AP70" i="2"/>
  <c r="CB70" i="2"/>
  <c r="AP74" i="2"/>
  <c r="CB74" i="2"/>
  <c r="AP78" i="2"/>
  <c r="CB78" i="2"/>
  <c r="AP82" i="2"/>
  <c r="CB82" i="2"/>
  <c r="AP86" i="2"/>
  <c r="CB86" i="2"/>
  <c r="AP90" i="2"/>
  <c r="CB90" i="2"/>
  <c r="AP94" i="2"/>
  <c r="CB94" i="2"/>
  <c r="AP96" i="2"/>
  <c r="CB96" i="2"/>
  <c r="AP100" i="2"/>
  <c r="CB100" i="2"/>
  <c r="AP104" i="2"/>
  <c r="CB104" i="2"/>
  <c r="AP108" i="2"/>
  <c r="CB108" i="2"/>
  <c r="AP112" i="2"/>
  <c r="CB112" i="2"/>
  <c r="AP116" i="2"/>
  <c r="CB116" i="2"/>
  <c r="AP119" i="2"/>
  <c r="CB119" i="2"/>
  <c r="AP123" i="2"/>
  <c r="CB123" i="2"/>
  <c r="AP127" i="2"/>
  <c r="CB127" i="2"/>
  <c r="AP130" i="2"/>
  <c r="CB130" i="2"/>
  <c r="AP31" i="2"/>
  <c r="CB31" i="2"/>
  <c r="AP35" i="2"/>
  <c r="CB35" i="2"/>
  <c r="AP39" i="2"/>
  <c r="CB39" i="2"/>
  <c r="AP43" i="2"/>
  <c r="CB43" i="2"/>
  <c r="AP47" i="2"/>
  <c r="CB47" i="2"/>
  <c r="AP51" i="2"/>
  <c r="CB51" i="2"/>
  <c r="AP55" i="2"/>
  <c r="CB55" i="2"/>
  <c r="AP59" i="2"/>
  <c r="CB59" i="2"/>
  <c r="AP63" i="2"/>
  <c r="CB63" i="2"/>
  <c r="AP67" i="2"/>
  <c r="CB67" i="2"/>
  <c r="AP71" i="2"/>
  <c r="CB71" i="2"/>
  <c r="AP75" i="2"/>
  <c r="CB75" i="2"/>
  <c r="AP79" i="2"/>
  <c r="CB79" i="2"/>
  <c r="AP84" i="2"/>
  <c r="CB84" i="2"/>
  <c r="AP88" i="2"/>
  <c r="CB88" i="2"/>
  <c r="AP92" i="2"/>
  <c r="CB92" i="2"/>
  <c r="AP97" i="2"/>
  <c r="CB97" i="2"/>
  <c r="AP101" i="2"/>
  <c r="CB101" i="2"/>
  <c r="AP105" i="2"/>
  <c r="CB105" i="2"/>
  <c r="AP109" i="2"/>
  <c r="CB109" i="2"/>
  <c r="AP113" i="2"/>
  <c r="CB113" i="2"/>
  <c r="AP117" i="2"/>
  <c r="CB117" i="2"/>
  <c r="AP122" i="2"/>
  <c r="CB122" i="2"/>
  <c r="AP126" i="2"/>
  <c r="CB126" i="2"/>
  <c r="AP129" i="2"/>
  <c r="CB129" i="2"/>
  <c r="AP32" i="2"/>
  <c r="CB32" i="2"/>
  <c r="AP36" i="2"/>
  <c r="CB36" i="2"/>
  <c r="AP40" i="2"/>
  <c r="CB40" i="2"/>
  <c r="AP44" i="2"/>
  <c r="CB44" i="2"/>
  <c r="AP48" i="2"/>
  <c r="CB48" i="2"/>
  <c r="AP52" i="2"/>
  <c r="CB52" i="2"/>
  <c r="AP56" i="2"/>
  <c r="CB56" i="2"/>
  <c r="AP60" i="2"/>
  <c r="CB60" i="2"/>
  <c r="AP64" i="2"/>
  <c r="CB64" i="2"/>
  <c r="AP68" i="2"/>
  <c r="CB68" i="2"/>
  <c r="AP72" i="2"/>
  <c r="CB72" i="2"/>
  <c r="AP76" i="2"/>
  <c r="CB76" i="2"/>
  <c r="AP80" i="2"/>
  <c r="CB80" i="2"/>
  <c r="AP83" i="2"/>
  <c r="CB83" i="2"/>
  <c r="AP87" i="2"/>
  <c r="CB87" i="2"/>
  <c r="AP91" i="2"/>
  <c r="CB91" i="2"/>
  <c r="AP98" i="2"/>
  <c r="CB98" i="2"/>
  <c r="AP102" i="2"/>
  <c r="CB102" i="2"/>
  <c r="AP106" i="2"/>
  <c r="CB106" i="2"/>
  <c r="AP110" i="2"/>
  <c r="CB110" i="2"/>
  <c r="AP115" i="2"/>
  <c r="CB115" i="2"/>
  <c r="AP120" i="2"/>
  <c r="CB120" i="2"/>
  <c r="AP124" i="2"/>
  <c r="CB124" i="2"/>
  <c r="AP128" i="2"/>
  <c r="CB128" i="2"/>
  <c r="AP132" i="2"/>
  <c r="CB132" i="2"/>
  <c r="AP29" i="2"/>
  <c r="CB29" i="2"/>
  <c r="AP33" i="2"/>
  <c r="CB33" i="2"/>
  <c r="AP37" i="2"/>
  <c r="CB37" i="2"/>
  <c r="AP41" i="2"/>
  <c r="CB41" i="2"/>
  <c r="AP45" i="2"/>
  <c r="CB45" i="2"/>
  <c r="AP49" i="2"/>
  <c r="CB49" i="2"/>
  <c r="AP53" i="2"/>
  <c r="CB53" i="2"/>
  <c r="AP58" i="2"/>
  <c r="CB58" i="2"/>
  <c r="AP61" i="2"/>
  <c r="CB61" i="2"/>
  <c r="AP65" i="2"/>
  <c r="CB65" i="2"/>
  <c r="AP69" i="2"/>
  <c r="CB69" i="2"/>
  <c r="AP73" i="2"/>
  <c r="CB73" i="2"/>
  <c r="AP77" i="2"/>
  <c r="CB77" i="2"/>
  <c r="AP81" i="2"/>
  <c r="CB81" i="2"/>
  <c r="AP85" i="2"/>
  <c r="CB85" i="2"/>
  <c r="AP89" i="2"/>
  <c r="CB89" i="2"/>
  <c r="AP93" i="2"/>
  <c r="CB93" i="2"/>
  <c r="AP95" i="2"/>
  <c r="CB95" i="2"/>
  <c r="AP99" i="2"/>
  <c r="CB99" i="2"/>
  <c r="AP103" i="2"/>
  <c r="CB103" i="2"/>
  <c r="AP107" i="2"/>
  <c r="CB107" i="2"/>
  <c r="AP111" i="2"/>
  <c r="CB111" i="2"/>
  <c r="AP114" i="2"/>
  <c r="CB114" i="2"/>
  <c r="AP118" i="2"/>
  <c r="CB118" i="2"/>
  <c r="AP121" i="2"/>
  <c r="CB121" i="2"/>
  <c r="AP125" i="2"/>
  <c r="CB125" i="2"/>
  <c r="AP131" i="2"/>
  <c r="CB131" i="2"/>
  <c r="AV29" i="2"/>
  <c r="CA29" i="2"/>
  <c r="AV33" i="2"/>
  <c r="CA33" i="2"/>
  <c r="AV37" i="2"/>
  <c r="CA37" i="2"/>
  <c r="AV41" i="2"/>
  <c r="CA41" i="2"/>
  <c r="AV45" i="2"/>
  <c r="CA45" i="2"/>
  <c r="AV48" i="2"/>
  <c r="CA48" i="2"/>
  <c r="AV52" i="2"/>
  <c r="CA52" i="2"/>
  <c r="AV55" i="2"/>
  <c r="CA55" i="2"/>
  <c r="AV59" i="2"/>
  <c r="CA59" i="2"/>
  <c r="AV63" i="2"/>
  <c r="CA63" i="2"/>
  <c r="AV67" i="2"/>
  <c r="CA67" i="2"/>
  <c r="AV71" i="2"/>
  <c r="CA71" i="2"/>
  <c r="AV75" i="2"/>
  <c r="CA75" i="2"/>
  <c r="AV79" i="2"/>
  <c r="CA79" i="2"/>
  <c r="AV85" i="2"/>
  <c r="CA85" i="2"/>
  <c r="AV89" i="2"/>
  <c r="CA89" i="2"/>
  <c r="AV93" i="2"/>
  <c r="CA93" i="2"/>
  <c r="AV96" i="2"/>
  <c r="CA96" i="2"/>
  <c r="AV100" i="2"/>
  <c r="CA100" i="2"/>
  <c r="AV104" i="2"/>
  <c r="CA104" i="2"/>
  <c r="AV108" i="2"/>
  <c r="CA108" i="2"/>
  <c r="AV112" i="2"/>
  <c r="CA112" i="2"/>
  <c r="AV116" i="2"/>
  <c r="CA116" i="2"/>
  <c r="AV120" i="2"/>
  <c r="CA120" i="2"/>
  <c r="AV124" i="2"/>
  <c r="CA124" i="2"/>
  <c r="AV129" i="2"/>
  <c r="CA129" i="2"/>
  <c r="AV133" i="2"/>
  <c r="CA133" i="2"/>
  <c r="AV137" i="2"/>
  <c r="CA137" i="2"/>
  <c r="T3" i="1"/>
  <c r="BZ28" i="2"/>
  <c r="AR32" i="2"/>
  <c r="BZ32" i="2"/>
  <c r="AR36" i="2"/>
  <c r="BZ36" i="2"/>
  <c r="AR40" i="2"/>
  <c r="BZ40" i="2"/>
  <c r="AR44" i="2"/>
  <c r="BZ44" i="2"/>
  <c r="AR48" i="2"/>
  <c r="BZ48" i="2"/>
  <c r="AR51" i="2"/>
  <c r="BZ51" i="2"/>
  <c r="AR53" i="2"/>
  <c r="BZ53" i="2"/>
  <c r="AR56" i="2"/>
  <c r="BZ56" i="2"/>
  <c r="AR57" i="2"/>
  <c r="BZ57" i="2"/>
  <c r="AR58" i="2"/>
  <c r="BZ58" i="2"/>
  <c r="AR59" i="2"/>
  <c r="BZ59" i="2"/>
  <c r="AR60" i="2"/>
  <c r="BZ60" i="2"/>
  <c r="AR61" i="2"/>
  <c r="BZ61" i="2"/>
  <c r="AR62" i="2"/>
  <c r="BZ62" i="2"/>
  <c r="AR63" i="2"/>
  <c r="BZ63" i="2"/>
  <c r="AR64" i="2"/>
  <c r="BZ64" i="2"/>
  <c r="AR65" i="2"/>
  <c r="BZ65" i="2"/>
  <c r="AR66" i="2"/>
  <c r="BZ66" i="2"/>
  <c r="AR67" i="2"/>
  <c r="BZ67" i="2"/>
  <c r="AR68" i="2"/>
  <c r="BZ68" i="2"/>
  <c r="AR69" i="2"/>
  <c r="BZ69" i="2"/>
  <c r="AR70" i="2"/>
  <c r="BZ70" i="2"/>
  <c r="AR71" i="2"/>
  <c r="BZ71" i="2"/>
  <c r="AR72" i="2"/>
  <c r="BZ72" i="2"/>
  <c r="AR73" i="2"/>
  <c r="BZ73" i="2"/>
  <c r="AR74" i="2"/>
  <c r="BZ74" i="2"/>
  <c r="AR75" i="2"/>
  <c r="BZ75" i="2"/>
  <c r="AR76" i="2"/>
  <c r="BZ76" i="2"/>
  <c r="AR77" i="2"/>
  <c r="BZ77" i="2"/>
  <c r="AR78" i="2"/>
  <c r="BZ78" i="2"/>
  <c r="AR79" i="2"/>
  <c r="BZ79" i="2"/>
  <c r="AR80" i="2"/>
  <c r="BZ80" i="2"/>
  <c r="AR81" i="2"/>
  <c r="BZ81" i="2"/>
  <c r="AR82" i="2"/>
  <c r="BZ82" i="2"/>
  <c r="AR83" i="2"/>
  <c r="BZ83" i="2"/>
  <c r="AR84" i="2"/>
  <c r="BZ84" i="2"/>
  <c r="AR85" i="2"/>
  <c r="BZ85" i="2"/>
  <c r="AR86" i="2"/>
  <c r="BZ86" i="2"/>
  <c r="AR87" i="2"/>
  <c r="BZ87" i="2"/>
  <c r="AR88" i="2"/>
  <c r="BZ88" i="2"/>
  <c r="AR89" i="2"/>
  <c r="BZ89" i="2"/>
  <c r="AR90" i="2"/>
  <c r="BZ90" i="2"/>
  <c r="AR91" i="2"/>
  <c r="BZ91" i="2"/>
  <c r="AR92" i="2"/>
  <c r="BZ92" i="2"/>
  <c r="AR93" i="2"/>
  <c r="BZ93" i="2"/>
  <c r="AR94" i="2"/>
  <c r="BZ94" i="2"/>
  <c r="AR95" i="2"/>
  <c r="BZ95" i="2"/>
  <c r="AR96" i="2"/>
  <c r="BZ96" i="2"/>
  <c r="AR97" i="2"/>
  <c r="BZ97" i="2"/>
  <c r="AR98" i="2"/>
  <c r="BZ98" i="2"/>
  <c r="AR99" i="2"/>
  <c r="BZ99" i="2"/>
  <c r="AR100" i="2"/>
  <c r="BZ100" i="2"/>
  <c r="AR101" i="2"/>
  <c r="BZ101" i="2"/>
  <c r="AR102" i="2"/>
  <c r="BZ102" i="2"/>
  <c r="AR103" i="2"/>
  <c r="BZ103" i="2"/>
  <c r="AR104" i="2"/>
  <c r="BZ104" i="2"/>
  <c r="AR105" i="2"/>
  <c r="BZ105" i="2"/>
  <c r="AR106" i="2"/>
  <c r="BZ106" i="2"/>
  <c r="AR107" i="2"/>
  <c r="BZ107" i="2"/>
  <c r="AR108" i="2"/>
  <c r="BZ108" i="2"/>
  <c r="AR109" i="2"/>
  <c r="BZ109" i="2"/>
  <c r="AR110" i="2"/>
  <c r="BZ110" i="2"/>
  <c r="AR111" i="2"/>
  <c r="BZ111" i="2"/>
  <c r="AR112" i="2"/>
  <c r="BZ112" i="2"/>
  <c r="AR113" i="2"/>
  <c r="BZ113" i="2"/>
  <c r="AR114" i="2"/>
  <c r="BZ114" i="2"/>
  <c r="AR115" i="2"/>
  <c r="BZ115" i="2"/>
  <c r="AR116" i="2"/>
  <c r="BZ116" i="2"/>
  <c r="AR117" i="2"/>
  <c r="BZ117" i="2"/>
  <c r="AR118" i="2"/>
  <c r="BZ118" i="2"/>
  <c r="AR119" i="2"/>
  <c r="BZ119" i="2"/>
  <c r="AR120" i="2"/>
  <c r="BZ120" i="2"/>
  <c r="AR121" i="2"/>
  <c r="BZ121" i="2"/>
  <c r="AR122" i="2"/>
  <c r="BZ122" i="2"/>
  <c r="AR123" i="2"/>
  <c r="BZ123" i="2"/>
  <c r="AR124" i="2"/>
  <c r="BZ124" i="2"/>
  <c r="AR125" i="2"/>
  <c r="BZ125" i="2"/>
  <c r="AR126" i="2"/>
  <c r="BZ126" i="2"/>
  <c r="AR127" i="2"/>
  <c r="BZ127" i="2"/>
  <c r="AR128" i="2"/>
  <c r="BZ128" i="2"/>
  <c r="AR129" i="2"/>
  <c r="BZ129" i="2"/>
  <c r="AR130" i="2"/>
  <c r="BZ130" i="2"/>
  <c r="AR131" i="2"/>
  <c r="BZ131" i="2"/>
  <c r="AR132" i="2"/>
  <c r="BZ132" i="2"/>
  <c r="AR133" i="2"/>
  <c r="BZ133" i="2"/>
  <c r="AR134" i="2"/>
  <c r="BZ134" i="2"/>
  <c r="AR135" i="2"/>
  <c r="BZ135" i="2"/>
  <c r="AR136" i="2"/>
  <c r="BZ136" i="2"/>
  <c r="AR137" i="2"/>
  <c r="BZ137" i="2"/>
  <c r="AR138" i="2"/>
  <c r="BZ138" i="2"/>
  <c r="AR139" i="2"/>
  <c r="BZ139" i="2"/>
  <c r="AR140" i="2"/>
  <c r="BZ140" i="2"/>
  <c r="AV142" i="2"/>
  <c r="CA142" i="2"/>
  <c r="AR141" i="2"/>
  <c r="BZ141" i="2"/>
  <c r="AV32" i="2"/>
  <c r="CA32" i="2"/>
  <c r="AV36" i="2"/>
  <c r="CA36" i="2"/>
  <c r="AV39" i="2"/>
  <c r="CA39" i="2"/>
  <c r="AV43" i="2"/>
  <c r="CA43" i="2"/>
  <c r="AV47" i="2"/>
  <c r="CA47" i="2"/>
  <c r="AV51" i="2"/>
  <c r="CA51" i="2"/>
  <c r="AV54" i="2"/>
  <c r="CA54" i="2"/>
  <c r="AV58" i="2"/>
  <c r="CA58" i="2"/>
  <c r="AV62" i="2"/>
  <c r="CA62" i="2"/>
  <c r="AV66" i="2"/>
  <c r="CA66" i="2"/>
  <c r="AV70" i="2"/>
  <c r="CA70" i="2"/>
  <c r="AV74" i="2"/>
  <c r="CA74" i="2"/>
  <c r="AV78" i="2"/>
  <c r="CA78" i="2"/>
  <c r="AV84" i="2"/>
  <c r="CA84" i="2"/>
  <c r="AV88" i="2"/>
  <c r="CA88" i="2"/>
  <c r="AV91" i="2"/>
  <c r="CA91" i="2"/>
  <c r="AV95" i="2"/>
  <c r="CA95" i="2"/>
  <c r="AV99" i="2"/>
  <c r="CA99" i="2"/>
  <c r="AV103" i="2"/>
  <c r="CA103" i="2"/>
  <c r="AV106" i="2"/>
  <c r="CA106" i="2"/>
  <c r="AV110" i="2"/>
  <c r="CA110" i="2"/>
  <c r="AV114" i="2"/>
  <c r="CA114" i="2"/>
  <c r="AV118" i="2"/>
  <c r="CA118" i="2"/>
  <c r="AV122" i="2"/>
  <c r="CA122" i="2"/>
  <c r="AV126" i="2"/>
  <c r="CA126" i="2"/>
  <c r="AV130" i="2"/>
  <c r="CA130" i="2"/>
  <c r="AV134" i="2"/>
  <c r="CA134" i="2"/>
  <c r="AV138" i="2"/>
  <c r="CA138" i="2"/>
  <c r="AR29" i="2"/>
  <c r="BZ29" i="2"/>
  <c r="AR33" i="2"/>
  <c r="BZ33" i="2"/>
  <c r="AR37" i="2"/>
  <c r="BZ37" i="2"/>
  <c r="AR42" i="2"/>
  <c r="BZ42" i="2"/>
  <c r="AR46" i="2"/>
  <c r="BZ46" i="2"/>
  <c r="AR49" i="2"/>
  <c r="BZ49" i="2"/>
  <c r="AR54" i="2"/>
  <c r="BZ54" i="2"/>
  <c r="AR142" i="2"/>
  <c r="BZ142" i="2"/>
  <c r="AV30" i="2"/>
  <c r="CA30" i="2"/>
  <c r="AV34" i="2"/>
  <c r="CA34" i="2"/>
  <c r="AV38" i="2"/>
  <c r="CA38" i="2"/>
  <c r="AV42" i="2"/>
  <c r="CA42" i="2"/>
  <c r="AV46" i="2"/>
  <c r="CA46" i="2"/>
  <c r="AV50" i="2"/>
  <c r="CA50" i="2"/>
  <c r="AV56" i="2"/>
  <c r="CA56" i="2"/>
  <c r="AV60" i="2"/>
  <c r="CA60" i="2"/>
  <c r="AV64" i="2"/>
  <c r="CA64" i="2"/>
  <c r="AV68" i="2"/>
  <c r="CA68" i="2"/>
  <c r="AV72" i="2"/>
  <c r="CA72" i="2"/>
  <c r="AV76" i="2"/>
  <c r="CA76" i="2"/>
  <c r="AV80" i="2"/>
  <c r="CA80" i="2"/>
  <c r="AV82" i="2"/>
  <c r="CA82" i="2"/>
  <c r="AV86" i="2"/>
  <c r="CA86" i="2"/>
  <c r="AV90" i="2"/>
  <c r="CA90" i="2"/>
  <c r="AV94" i="2"/>
  <c r="CA94" i="2"/>
  <c r="AV98" i="2"/>
  <c r="CA98" i="2"/>
  <c r="AV102" i="2"/>
  <c r="CA102" i="2"/>
  <c r="AV107" i="2"/>
  <c r="CA107" i="2"/>
  <c r="AV111" i="2"/>
  <c r="CA111" i="2"/>
  <c r="AV115" i="2"/>
  <c r="CA115" i="2"/>
  <c r="AV119" i="2"/>
  <c r="CA119" i="2"/>
  <c r="AV123" i="2"/>
  <c r="CA123" i="2"/>
  <c r="AV127" i="2"/>
  <c r="CA127" i="2"/>
  <c r="AV131" i="2"/>
  <c r="CA131" i="2"/>
  <c r="AV135" i="2"/>
  <c r="CA135" i="2"/>
  <c r="AV140" i="2"/>
  <c r="CA140" i="2"/>
  <c r="AV141" i="2"/>
  <c r="CA141" i="2"/>
  <c r="AR35" i="2"/>
  <c r="BZ35" i="2"/>
  <c r="AR39" i="2"/>
  <c r="BZ39" i="2"/>
  <c r="AR43" i="2"/>
  <c r="BZ43" i="2"/>
  <c r="AR47" i="2"/>
  <c r="BZ47" i="2"/>
  <c r="AR52" i="2"/>
  <c r="BZ52" i="2"/>
  <c r="BG29" i="2"/>
  <c r="BG31" i="2"/>
  <c r="BG33" i="2"/>
  <c r="BG35" i="2"/>
  <c r="BG37" i="2"/>
  <c r="BG39" i="2"/>
  <c r="BG41" i="2"/>
  <c r="BG43" i="2"/>
  <c r="BG45" i="2"/>
  <c r="BG47" i="2"/>
  <c r="BG50" i="2"/>
  <c r="BG52" i="2"/>
  <c r="BG54" i="2"/>
  <c r="BG55" i="2"/>
  <c r="BG57" i="2"/>
  <c r="BG58" i="2"/>
  <c r="BG59" i="2"/>
  <c r="BG60" i="2"/>
  <c r="BG61" i="2"/>
  <c r="BG62" i="2"/>
  <c r="BG63" i="2"/>
  <c r="BG64" i="2"/>
  <c r="BG67" i="2"/>
  <c r="BG69" i="2"/>
  <c r="BG71" i="2"/>
  <c r="BG73" i="2"/>
  <c r="BG75" i="2"/>
  <c r="BG77" i="2"/>
  <c r="BG79" i="2"/>
  <c r="BG81" i="2"/>
  <c r="BG83" i="2"/>
  <c r="BG85" i="2"/>
  <c r="BG87" i="2"/>
  <c r="BG89" i="2"/>
  <c r="BG91" i="2"/>
  <c r="BG93" i="2"/>
  <c r="BG95" i="2"/>
  <c r="BG97" i="2"/>
  <c r="BG99" i="2"/>
  <c r="BG101" i="2"/>
  <c r="BG103" i="2"/>
  <c r="BG105" i="2"/>
  <c r="BG107" i="2"/>
  <c r="BG109" i="2"/>
  <c r="BG111" i="2"/>
  <c r="BG113" i="2"/>
  <c r="BG114" i="2"/>
  <c r="BG115" i="2"/>
  <c r="BG116" i="2"/>
  <c r="BG118" i="2"/>
  <c r="BG119" i="2"/>
  <c r="BG120" i="2"/>
  <c r="BG121" i="2"/>
  <c r="BG122" i="2"/>
  <c r="BG123" i="2"/>
  <c r="BG124" i="2"/>
  <c r="BG125" i="2"/>
  <c r="BG126" i="2"/>
  <c r="BG127" i="2"/>
  <c r="BG128" i="2"/>
  <c r="BG129" i="2"/>
  <c r="BG130" i="2"/>
  <c r="BG131" i="2"/>
  <c r="BG132" i="2"/>
  <c r="BG133" i="2"/>
  <c r="BG134" i="2"/>
  <c r="BG135" i="2"/>
  <c r="BG136" i="2"/>
  <c r="BG137" i="2"/>
  <c r="BG138" i="2"/>
  <c r="BG139" i="2"/>
  <c r="BG140" i="2"/>
  <c r="BG141" i="2"/>
  <c r="AV31" i="2"/>
  <c r="CA31" i="2"/>
  <c r="AV35" i="2"/>
  <c r="CA35" i="2"/>
  <c r="AV40" i="2"/>
  <c r="CA40" i="2"/>
  <c r="AV44" i="2"/>
  <c r="CA44" i="2"/>
  <c r="AV49" i="2"/>
  <c r="CA49" i="2"/>
  <c r="AV53" i="2"/>
  <c r="CA53" i="2"/>
  <c r="AV57" i="2"/>
  <c r="CA57" i="2"/>
  <c r="AV61" i="2"/>
  <c r="CA61" i="2"/>
  <c r="AV65" i="2"/>
  <c r="CA65" i="2"/>
  <c r="AV69" i="2"/>
  <c r="CA69" i="2"/>
  <c r="AV73" i="2"/>
  <c r="CA73" i="2"/>
  <c r="AV77" i="2"/>
  <c r="CA77" i="2"/>
  <c r="AV81" i="2"/>
  <c r="CA81" i="2"/>
  <c r="AV83" i="2"/>
  <c r="CA83" i="2"/>
  <c r="AV87" i="2"/>
  <c r="CA87" i="2"/>
  <c r="AV92" i="2"/>
  <c r="CA92" i="2"/>
  <c r="AV97" i="2"/>
  <c r="CA97" i="2"/>
  <c r="AV101" i="2"/>
  <c r="CA101" i="2"/>
  <c r="AV105" i="2"/>
  <c r="CA105" i="2"/>
  <c r="AV109" i="2"/>
  <c r="CA109" i="2"/>
  <c r="AV113" i="2"/>
  <c r="CA113" i="2"/>
  <c r="AV117" i="2"/>
  <c r="CA117" i="2"/>
  <c r="AV121" i="2"/>
  <c r="CA121" i="2"/>
  <c r="AV125" i="2"/>
  <c r="CA125" i="2"/>
  <c r="AV128" i="2"/>
  <c r="CA128" i="2"/>
  <c r="AV132" i="2"/>
  <c r="CA132" i="2"/>
  <c r="AV136" i="2"/>
  <c r="CA136" i="2"/>
  <c r="AV139" i="2"/>
  <c r="CA139" i="2"/>
  <c r="AR30" i="2"/>
  <c r="BZ30" i="2"/>
  <c r="AR34" i="2"/>
  <c r="BZ34" i="2"/>
  <c r="AR38" i="2"/>
  <c r="BZ38" i="2"/>
  <c r="AR41" i="2"/>
  <c r="BZ41" i="2"/>
  <c r="AR45" i="2"/>
  <c r="BZ45" i="2"/>
  <c r="AR50" i="2"/>
  <c r="BZ50" i="2"/>
  <c r="AR55" i="2"/>
  <c r="BZ55" i="2"/>
  <c r="BG28" i="2"/>
  <c r="BG30" i="2"/>
  <c r="BG32" i="2"/>
  <c r="BG34" i="2"/>
  <c r="BG36" i="2"/>
  <c r="BG38" i="2"/>
  <c r="BG40" i="2"/>
  <c r="BG42" i="2"/>
  <c r="BG44" i="2"/>
  <c r="BG46" i="2"/>
  <c r="BG48" i="2"/>
  <c r="BG49" i="2"/>
  <c r="BG51" i="2"/>
  <c r="BG53" i="2"/>
  <c r="BG56" i="2"/>
  <c r="BG65" i="2"/>
  <c r="BG66" i="2"/>
  <c r="BG68" i="2"/>
  <c r="BG70" i="2"/>
  <c r="BG72" i="2"/>
  <c r="BG74" i="2"/>
  <c r="BG76" i="2"/>
  <c r="BG78" i="2"/>
  <c r="BG80" i="2"/>
  <c r="BG82" i="2"/>
  <c r="BG84" i="2"/>
  <c r="BG86" i="2"/>
  <c r="BG88" i="2"/>
  <c r="BG90" i="2"/>
  <c r="BG92" i="2"/>
  <c r="BG94" i="2"/>
  <c r="BG96" i="2"/>
  <c r="BG98" i="2"/>
  <c r="BG100" i="2"/>
  <c r="BG102" i="2"/>
  <c r="BG104" i="2"/>
  <c r="BG106" i="2"/>
  <c r="BG108" i="2"/>
  <c r="BG110" i="2"/>
  <c r="BG112" i="2"/>
  <c r="BG117" i="2"/>
  <c r="BG142" i="2"/>
  <c r="AP28" i="2"/>
  <c r="U3" i="1"/>
  <c r="C11" i="2"/>
  <c r="D12" i="2"/>
  <c r="D11" i="2"/>
  <c r="D10" i="2"/>
  <c r="D9" i="2"/>
  <c r="C10" i="2"/>
  <c r="E11" i="2"/>
  <c r="E10" i="2"/>
  <c r="E9" i="2"/>
  <c r="E12" i="2"/>
  <c r="AR31" i="2"/>
  <c r="BN144" i="2"/>
  <c r="BH144" i="2"/>
  <c r="BK144" i="2"/>
  <c r="BE144" i="2"/>
  <c r="BC144" i="2" s="1"/>
  <c r="BD144" i="2" s="1"/>
  <c r="BK146" i="2"/>
  <c r="BN146" i="2"/>
  <c r="BH146" i="2"/>
  <c r="BE146" i="2"/>
  <c r="BC146" i="2" s="1"/>
  <c r="BD146" i="2" s="1"/>
  <c r="BN147" i="2"/>
  <c r="BE147" i="2"/>
  <c r="BC147" i="2" s="1"/>
  <c r="BD147" i="2" s="1"/>
  <c r="BK147" i="2"/>
  <c r="BH147" i="2"/>
  <c r="BH148" i="2"/>
  <c r="BE148" i="2"/>
  <c r="BC148" i="2" s="1"/>
  <c r="BD148" i="2" s="1"/>
  <c r="BN148" i="2"/>
  <c r="BK148" i="2"/>
  <c r="BK149" i="2"/>
  <c r="BH149" i="2"/>
  <c r="BE149" i="2"/>
  <c r="BC149" i="2" s="1"/>
  <c r="BD149" i="2" s="1"/>
  <c r="BN149" i="2"/>
  <c r="BE150" i="2"/>
  <c r="BC150" i="2" s="1"/>
  <c r="BD150" i="2" s="1"/>
  <c r="BK150" i="2"/>
  <c r="BH150" i="2"/>
  <c r="BN150" i="2"/>
  <c r="BN151" i="2"/>
  <c r="BK151" i="2"/>
  <c r="BH151" i="2"/>
  <c r="BE151" i="2"/>
  <c r="BC151" i="2" s="1"/>
  <c r="BD151" i="2" s="1"/>
  <c r="BN152" i="2"/>
  <c r="BH152" i="2"/>
  <c r="BE152" i="2"/>
  <c r="BC152" i="2" s="1"/>
  <c r="BD152" i="2" s="1"/>
  <c r="BK152" i="2"/>
  <c r="BN153" i="2"/>
  <c r="BK153" i="2"/>
  <c r="BE153" i="2"/>
  <c r="BC153" i="2" s="1"/>
  <c r="BD153" i="2" s="1"/>
  <c r="BH153" i="2"/>
  <c r="BK154" i="2"/>
  <c r="BH154" i="2"/>
  <c r="BN154" i="2"/>
  <c r="BE154" i="2"/>
  <c r="BC154" i="2" s="1"/>
  <c r="BD154" i="2" s="1"/>
  <c r="BN155" i="2"/>
  <c r="BE155" i="2"/>
  <c r="BC155" i="2" s="1"/>
  <c r="BD155" i="2" s="1"/>
  <c r="BK155" i="2"/>
  <c r="BH155" i="2"/>
  <c r="BH156" i="2"/>
  <c r="BN156" i="2"/>
  <c r="BK156" i="2"/>
  <c r="BE156" i="2"/>
  <c r="BC156" i="2" s="1"/>
  <c r="BD156" i="2" s="1"/>
  <c r="BE157" i="2"/>
  <c r="BC157" i="2" s="1"/>
  <c r="BD157" i="2" s="1"/>
  <c r="BK157" i="2"/>
  <c r="BH157" i="2"/>
  <c r="BN157" i="2"/>
  <c r="BE158" i="2"/>
  <c r="BC158" i="2" s="1"/>
  <c r="BD158" i="2" s="1"/>
  <c r="BK158" i="2"/>
  <c r="BH158" i="2"/>
  <c r="BN158" i="2"/>
  <c r="BE159" i="2"/>
  <c r="BC159" i="2" s="1"/>
  <c r="BD159" i="2" s="1"/>
  <c r="BN159" i="2"/>
  <c r="BK159" i="2"/>
  <c r="BH159" i="2"/>
  <c r="BN145" i="2"/>
  <c r="BK145" i="2"/>
  <c r="BH145" i="2"/>
  <c r="BE145" i="2"/>
  <c r="BC145" i="2" s="1"/>
  <c r="BD145" i="2" s="1"/>
  <c r="BE133" i="2"/>
  <c r="BC133" i="2" s="1"/>
  <c r="BD133" i="2" s="1"/>
  <c r="BK133" i="2"/>
  <c r="BH133" i="2"/>
  <c r="BN133" i="2"/>
  <c r="BK134" i="2"/>
  <c r="BH134" i="2"/>
  <c r="BE134" i="2"/>
  <c r="BC134" i="2" s="1"/>
  <c r="BD134" i="2" s="1"/>
  <c r="BN134" i="2"/>
  <c r="BE135" i="2"/>
  <c r="BC135" i="2" s="1"/>
  <c r="BD135" i="2" s="1"/>
  <c r="BK135" i="2"/>
  <c r="BH135" i="2"/>
  <c r="BN135" i="2"/>
  <c r="BN136" i="2"/>
  <c r="BH136" i="2"/>
  <c r="BE136" i="2"/>
  <c r="BC136" i="2" s="1"/>
  <c r="BD136" i="2" s="1"/>
  <c r="BK136" i="2"/>
  <c r="BE137" i="2"/>
  <c r="BC137" i="2" s="1"/>
  <c r="BD137" i="2" s="1"/>
  <c r="BN137" i="2"/>
  <c r="BK137" i="2"/>
  <c r="BH137" i="2"/>
  <c r="BE138" i="2"/>
  <c r="BC138" i="2" s="1"/>
  <c r="BD138" i="2" s="1"/>
  <c r="BK138" i="2"/>
  <c r="BN138" i="2"/>
  <c r="BH138" i="2"/>
  <c r="BN139" i="2"/>
  <c r="BE139" i="2"/>
  <c r="BC139" i="2" s="1"/>
  <c r="BD139" i="2" s="1"/>
  <c r="BK139" i="2"/>
  <c r="BH139" i="2"/>
  <c r="BH140" i="2"/>
  <c r="BN140" i="2"/>
  <c r="BE140" i="2"/>
  <c r="BC140" i="2" s="1"/>
  <c r="BD140" i="2" s="1"/>
  <c r="BK140" i="2"/>
  <c r="BK141" i="2"/>
  <c r="BH141" i="2"/>
  <c r="BN141" i="2"/>
  <c r="BE141" i="2"/>
  <c r="BC141" i="2" s="1"/>
  <c r="BD141" i="2" s="1"/>
  <c r="BH142" i="2"/>
  <c r="BK142" i="2"/>
  <c r="BN142" i="2"/>
  <c r="BE142" i="2"/>
  <c r="BC142" i="2" s="1"/>
  <c r="BD142" i="2" s="1"/>
  <c r="BE143" i="2"/>
  <c r="BC143" i="2" s="1"/>
  <c r="BD143" i="2" s="1"/>
  <c r="BN143" i="2"/>
  <c r="BK143" i="2"/>
  <c r="BH143" i="2"/>
  <c r="D4" i="3"/>
  <c r="AR28" i="2"/>
  <c r="BN28" i="2"/>
  <c r="BK28" i="2"/>
  <c r="BE28" i="2"/>
  <c r="BH28" i="2"/>
  <c r="BN31" i="2"/>
  <c r="BK31" i="2"/>
  <c r="BH31" i="2"/>
  <c r="BE31" i="2"/>
  <c r="BE34" i="2"/>
  <c r="BH34" i="2"/>
  <c r="BK34" i="2"/>
  <c r="BN34" i="2"/>
  <c r="BH37" i="2"/>
  <c r="BN37" i="2"/>
  <c r="BE37" i="2"/>
  <c r="BK37" i="2"/>
  <c r="BN40" i="2"/>
  <c r="BK40" i="2"/>
  <c r="BE40" i="2"/>
  <c r="BH40" i="2"/>
  <c r="BN44" i="2"/>
  <c r="BK44" i="2"/>
  <c r="BE44" i="2"/>
  <c r="BH44" i="2"/>
  <c r="BN47" i="2"/>
  <c r="BK47" i="2"/>
  <c r="BH47" i="2"/>
  <c r="BE47" i="2"/>
  <c r="BE50" i="2"/>
  <c r="BH50" i="2"/>
  <c r="BN50" i="2"/>
  <c r="BK50" i="2"/>
  <c r="BH53" i="2"/>
  <c r="BN53" i="2"/>
  <c r="BE53" i="2"/>
  <c r="BK53" i="2"/>
  <c r="BN56" i="2"/>
  <c r="BK56" i="2"/>
  <c r="BE56" i="2"/>
  <c r="BH56" i="2"/>
  <c r="BN59" i="2"/>
  <c r="BK59" i="2"/>
  <c r="BE59" i="2"/>
  <c r="BH59" i="2"/>
  <c r="BK62" i="2"/>
  <c r="BN62" i="2"/>
  <c r="BH62" i="2"/>
  <c r="BE62" i="2"/>
  <c r="BN65" i="2"/>
  <c r="BH65" i="2"/>
  <c r="BK65" i="2"/>
  <c r="BE65" i="2"/>
  <c r="BN68" i="2"/>
  <c r="BK68" i="2"/>
  <c r="BE68" i="2"/>
  <c r="BH68" i="2"/>
  <c r="BN71" i="2"/>
  <c r="BK71" i="2"/>
  <c r="BH71" i="2"/>
  <c r="BE71" i="2"/>
  <c r="BE74" i="2"/>
  <c r="BH74" i="2"/>
  <c r="BK74" i="2"/>
  <c r="BN74" i="2"/>
  <c r="BN75" i="2"/>
  <c r="BK75" i="2"/>
  <c r="BH75" i="2"/>
  <c r="BE75" i="2"/>
  <c r="BN79" i="2"/>
  <c r="BK79" i="2"/>
  <c r="BE79" i="2"/>
  <c r="BH79" i="2"/>
  <c r="BE82" i="2"/>
  <c r="BH82" i="2"/>
  <c r="BN82" i="2"/>
  <c r="BK82" i="2"/>
  <c r="BN85" i="2"/>
  <c r="BH85" i="2"/>
  <c r="BE85" i="2"/>
  <c r="BK85" i="2"/>
  <c r="BN88" i="2"/>
  <c r="BK88" i="2"/>
  <c r="BE88" i="2"/>
  <c r="BH88" i="2"/>
  <c r="BN91" i="2"/>
  <c r="BK91" i="2"/>
  <c r="BE91" i="2"/>
  <c r="BH91" i="2"/>
  <c r="BK94" i="2"/>
  <c r="BN94" i="2"/>
  <c r="BE94" i="2"/>
  <c r="BH94" i="2"/>
  <c r="BE97" i="2"/>
  <c r="BH97" i="2"/>
  <c r="BK97" i="2"/>
  <c r="BN97" i="2"/>
  <c r="BN100" i="2"/>
  <c r="BK100" i="2"/>
  <c r="BE100" i="2"/>
  <c r="BH100" i="2"/>
  <c r="BN103" i="2"/>
  <c r="BK103" i="2"/>
  <c r="BE103" i="2"/>
  <c r="BH103" i="2"/>
  <c r="BH106" i="2"/>
  <c r="BK106" i="2"/>
  <c r="BE106" i="2"/>
  <c r="BN106" i="2"/>
  <c r="BN109" i="2"/>
  <c r="BE109" i="2"/>
  <c r="BH109" i="2"/>
  <c r="BK109" i="2"/>
  <c r="BN112" i="2"/>
  <c r="BK112" i="2"/>
  <c r="BE112" i="2"/>
  <c r="BH112" i="2"/>
  <c r="BN115" i="2"/>
  <c r="BK115" i="2"/>
  <c r="BH115" i="2"/>
  <c r="BE115" i="2"/>
  <c r="BK118" i="2"/>
  <c r="BE118" i="2"/>
  <c r="BN118" i="2"/>
  <c r="BH118" i="2"/>
  <c r="BH121" i="2"/>
  <c r="BK121" i="2"/>
  <c r="BE121" i="2"/>
  <c r="BN121" i="2"/>
  <c r="BN124" i="2"/>
  <c r="BK124" i="2"/>
  <c r="BE124" i="2"/>
  <c r="BH124" i="2"/>
  <c r="BN128" i="2"/>
  <c r="BK128" i="2"/>
  <c r="BE128" i="2"/>
  <c r="BH128" i="2"/>
  <c r="BN132" i="2"/>
  <c r="BK132" i="2"/>
  <c r="BE132" i="2"/>
  <c r="BH132" i="2"/>
  <c r="BK30" i="2"/>
  <c r="BN30" i="2"/>
  <c r="BE30" i="2"/>
  <c r="BH30" i="2"/>
  <c r="BH33" i="2"/>
  <c r="BE33" i="2"/>
  <c r="BK33" i="2"/>
  <c r="BN33" i="2"/>
  <c r="BN36" i="2"/>
  <c r="BK36" i="2"/>
  <c r="BH36" i="2"/>
  <c r="BE36" i="2"/>
  <c r="BN39" i="2"/>
  <c r="BK39" i="2"/>
  <c r="BE39" i="2"/>
  <c r="BH39" i="2"/>
  <c r="BH42" i="2"/>
  <c r="BN42" i="2"/>
  <c r="BK42" i="2"/>
  <c r="BE42" i="2"/>
  <c r="BH45" i="2"/>
  <c r="BN45" i="2"/>
  <c r="BE45" i="2"/>
  <c r="BK45" i="2"/>
  <c r="BN48" i="2"/>
  <c r="BK48" i="2"/>
  <c r="BE48" i="2"/>
  <c r="BH48" i="2"/>
  <c r="BN51" i="2"/>
  <c r="BK51" i="2"/>
  <c r="BE51" i="2"/>
  <c r="BH51" i="2"/>
  <c r="BK54" i="2"/>
  <c r="BN54" i="2"/>
  <c r="BE54" i="2"/>
  <c r="BH54" i="2"/>
  <c r="BH57" i="2"/>
  <c r="BK57" i="2"/>
  <c r="BN57" i="2"/>
  <c r="BE57" i="2"/>
  <c r="BN61" i="2"/>
  <c r="BH61" i="2"/>
  <c r="BK61" i="2"/>
  <c r="BE61" i="2"/>
  <c r="BN64" i="2"/>
  <c r="BK64" i="2"/>
  <c r="BE64" i="2"/>
  <c r="BH64" i="2"/>
  <c r="BN67" i="2"/>
  <c r="BK67" i="2"/>
  <c r="BE67" i="2"/>
  <c r="BH67" i="2"/>
  <c r="BK70" i="2"/>
  <c r="BN70" i="2"/>
  <c r="BH70" i="2"/>
  <c r="BE70" i="2"/>
  <c r="BH73" i="2"/>
  <c r="BE73" i="2"/>
  <c r="BN73" i="2"/>
  <c r="BK73" i="2"/>
  <c r="BN77" i="2"/>
  <c r="BH77" i="2"/>
  <c r="BK77" i="2"/>
  <c r="BE77" i="2"/>
  <c r="BN80" i="2"/>
  <c r="BK80" i="2"/>
  <c r="BE80" i="2"/>
  <c r="BH80" i="2"/>
  <c r="BN83" i="2"/>
  <c r="BK83" i="2"/>
  <c r="BE83" i="2"/>
  <c r="BH83" i="2"/>
  <c r="BK86" i="2"/>
  <c r="BN86" i="2"/>
  <c r="BH86" i="2"/>
  <c r="BE86" i="2"/>
  <c r="BE89" i="2"/>
  <c r="BN89" i="2"/>
  <c r="BH89" i="2"/>
  <c r="BK89" i="2"/>
  <c r="BN92" i="2"/>
  <c r="BK92" i="2"/>
  <c r="BH92" i="2"/>
  <c r="BE92" i="2"/>
  <c r="BN95" i="2"/>
  <c r="BK95" i="2"/>
  <c r="BH95" i="2"/>
  <c r="BE95" i="2"/>
  <c r="BE98" i="2"/>
  <c r="BH98" i="2"/>
  <c r="BN98" i="2"/>
  <c r="BK98" i="2"/>
  <c r="BN101" i="2"/>
  <c r="BH101" i="2"/>
  <c r="BK101" i="2"/>
  <c r="BE101" i="2"/>
  <c r="BN104" i="2"/>
  <c r="BK104" i="2"/>
  <c r="BE104" i="2"/>
  <c r="BH104" i="2"/>
  <c r="BN107" i="2"/>
  <c r="BK107" i="2"/>
  <c r="BE107" i="2"/>
  <c r="BH107" i="2"/>
  <c r="BN111" i="2"/>
  <c r="BK111" i="2"/>
  <c r="BE111" i="2"/>
  <c r="BH111" i="2"/>
  <c r="BH114" i="2"/>
  <c r="BN114" i="2"/>
  <c r="BK114" i="2"/>
  <c r="BE114" i="2"/>
  <c r="BN117" i="2"/>
  <c r="BE117" i="2"/>
  <c r="BH117" i="2"/>
  <c r="BK117" i="2"/>
  <c r="BN120" i="2"/>
  <c r="BK120" i="2"/>
  <c r="BE120" i="2"/>
  <c r="BH120" i="2"/>
  <c r="BN123" i="2"/>
  <c r="BK123" i="2"/>
  <c r="BE123" i="2"/>
  <c r="BH123" i="2"/>
  <c r="BK126" i="2"/>
  <c r="BN126" i="2"/>
  <c r="BH126" i="2"/>
  <c r="BE126" i="2"/>
  <c r="BH129" i="2"/>
  <c r="BK129" i="2"/>
  <c r="BE129" i="2"/>
  <c r="BN129" i="2"/>
  <c r="BN131" i="2"/>
  <c r="BK131" i="2"/>
  <c r="BE131" i="2"/>
  <c r="BH131" i="2"/>
  <c r="BH29" i="2"/>
  <c r="BN29" i="2"/>
  <c r="BE29" i="2"/>
  <c r="BK29" i="2"/>
  <c r="BN32" i="2"/>
  <c r="BK32" i="2"/>
  <c r="BH32" i="2"/>
  <c r="BE32" i="2"/>
  <c r="BN35" i="2"/>
  <c r="BK35" i="2"/>
  <c r="BE35" i="2"/>
  <c r="BH35" i="2"/>
  <c r="BK38" i="2"/>
  <c r="BE38" i="2"/>
  <c r="BN38" i="2"/>
  <c r="BH38" i="2"/>
  <c r="BH41" i="2"/>
  <c r="BN41" i="2"/>
  <c r="BK41" i="2"/>
  <c r="BE41" i="2"/>
  <c r="BN43" i="2"/>
  <c r="BK43" i="2"/>
  <c r="BE43" i="2"/>
  <c r="BH43" i="2"/>
  <c r="BK46" i="2"/>
  <c r="BN46" i="2"/>
  <c r="BE46" i="2"/>
  <c r="BH46" i="2"/>
  <c r="BH49" i="2"/>
  <c r="BN49" i="2"/>
  <c r="BK49" i="2"/>
  <c r="BE49" i="2"/>
  <c r="BN52" i="2"/>
  <c r="BK52" i="2"/>
  <c r="BH52" i="2"/>
  <c r="BE52" i="2"/>
  <c r="BN55" i="2"/>
  <c r="BK55" i="2"/>
  <c r="BE55" i="2"/>
  <c r="BH55" i="2"/>
  <c r="BE58" i="2"/>
  <c r="BH58" i="2"/>
  <c r="BN58" i="2"/>
  <c r="BK58" i="2"/>
  <c r="BN60" i="2"/>
  <c r="BK60" i="2"/>
  <c r="BE60" i="2"/>
  <c r="BH60" i="2"/>
  <c r="BN63" i="2"/>
  <c r="BK63" i="2"/>
  <c r="BE63" i="2"/>
  <c r="BH63" i="2"/>
  <c r="BH66" i="2"/>
  <c r="BN66" i="2"/>
  <c r="BK66" i="2"/>
  <c r="BE66" i="2"/>
  <c r="BN69" i="2"/>
  <c r="BH69" i="2"/>
  <c r="BE69" i="2"/>
  <c r="BK69" i="2"/>
  <c r="BN72" i="2"/>
  <c r="BK72" i="2"/>
  <c r="BE72" i="2"/>
  <c r="BH72" i="2"/>
  <c r="BN76" i="2"/>
  <c r="BK76" i="2"/>
  <c r="BE76" i="2"/>
  <c r="BH76" i="2"/>
  <c r="BK78" i="2"/>
  <c r="BE78" i="2"/>
  <c r="BN78" i="2"/>
  <c r="BH78" i="2"/>
  <c r="BH81" i="2"/>
  <c r="BK81" i="2"/>
  <c r="BN81" i="2"/>
  <c r="BE81" i="2"/>
  <c r="BN84" i="2"/>
  <c r="BK84" i="2"/>
  <c r="BE84" i="2"/>
  <c r="BH84" i="2"/>
  <c r="BN87" i="2"/>
  <c r="BK87" i="2"/>
  <c r="BE87" i="2"/>
  <c r="BH87" i="2"/>
  <c r="BH90" i="2"/>
  <c r="BE90" i="2"/>
  <c r="BN90" i="2"/>
  <c r="BK90" i="2"/>
  <c r="BN93" i="2"/>
  <c r="BH93" i="2"/>
  <c r="BE93" i="2"/>
  <c r="BK93" i="2"/>
  <c r="BN96" i="2"/>
  <c r="BK96" i="2"/>
  <c r="BH96" i="2"/>
  <c r="BE96" i="2"/>
  <c r="BN99" i="2"/>
  <c r="BK99" i="2"/>
  <c r="BE99" i="2"/>
  <c r="BH99" i="2"/>
  <c r="BK102" i="2"/>
  <c r="BE102" i="2"/>
  <c r="BN102" i="2"/>
  <c r="BH102" i="2"/>
  <c r="BH105" i="2"/>
  <c r="BK105" i="2"/>
  <c r="BN105" i="2"/>
  <c r="BE105" i="2"/>
  <c r="BN108" i="2"/>
  <c r="BK108" i="2"/>
  <c r="BE108" i="2"/>
  <c r="BH108" i="2"/>
  <c r="BK110" i="2"/>
  <c r="BN110" i="2"/>
  <c r="BH110" i="2"/>
  <c r="BE110" i="2"/>
  <c r="BH113" i="2"/>
  <c r="BK113" i="2"/>
  <c r="BE113" i="2"/>
  <c r="BN113" i="2"/>
  <c r="BN116" i="2"/>
  <c r="BK116" i="2"/>
  <c r="BH116" i="2"/>
  <c r="BE116" i="2"/>
  <c r="BN119" i="2"/>
  <c r="BK119" i="2"/>
  <c r="BE119" i="2"/>
  <c r="BH119" i="2"/>
  <c r="BE122" i="2"/>
  <c r="BH122" i="2"/>
  <c r="BK122" i="2"/>
  <c r="BN122" i="2"/>
  <c r="BN125" i="2"/>
  <c r="BH125" i="2"/>
  <c r="BE125" i="2"/>
  <c r="BK125" i="2"/>
  <c r="BN127" i="2"/>
  <c r="BK127" i="2"/>
  <c r="BE127" i="2"/>
  <c r="BH127" i="2"/>
  <c r="BH130" i="2"/>
  <c r="BN130" i="2"/>
  <c r="BE130" i="2"/>
  <c r="BK130" i="2"/>
  <c r="AW146" i="2"/>
  <c r="AZ146" i="2"/>
  <c r="AQ146" i="2"/>
  <c r="AS146" i="2"/>
  <c r="AW147" i="2"/>
  <c r="AS147" i="2"/>
  <c r="AQ147" i="2"/>
  <c r="AZ147" i="2"/>
  <c r="AZ148" i="2"/>
  <c r="AW148" i="2"/>
  <c r="AQ148" i="2"/>
  <c r="AS148" i="2"/>
  <c r="AZ149" i="2"/>
  <c r="AW149" i="2"/>
  <c r="AS149" i="2"/>
  <c r="AQ149" i="2"/>
  <c r="AZ150" i="2"/>
  <c r="AQ150" i="2"/>
  <c r="AS150" i="2"/>
  <c r="AW150" i="2"/>
  <c r="AZ151" i="2"/>
  <c r="AS151" i="2"/>
  <c r="AW151" i="2"/>
  <c r="AQ151" i="2"/>
  <c r="AZ152" i="2"/>
  <c r="AW152" i="2"/>
  <c r="AQ152" i="2"/>
  <c r="AS152" i="2"/>
  <c r="AZ153" i="2"/>
  <c r="AW153" i="2"/>
  <c r="AS153" i="2"/>
  <c r="AQ153" i="2"/>
  <c r="AW154" i="2"/>
  <c r="AQ154" i="2"/>
  <c r="AS154" i="2"/>
  <c r="AZ154" i="2"/>
  <c r="AW155" i="2"/>
  <c r="AS155" i="2"/>
  <c r="AZ155" i="2"/>
  <c r="AQ155" i="2"/>
  <c r="AZ156" i="2"/>
  <c r="AW156" i="2"/>
  <c r="AQ156" i="2"/>
  <c r="AS156" i="2"/>
  <c r="AZ157" i="2"/>
  <c r="AW157" i="2"/>
  <c r="AS157" i="2"/>
  <c r="AQ157" i="2"/>
  <c r="AZ158" i="2"/>
  <c r="AW158" i="2"/>
  <c r="AQ158" i="2"/>
  <c r="AS158" i="2"/>
  <c r="AZ159" i="2"/>
  <c r="AS159" i="2"/>
  <c r="AQ159" i="2"/>
  <c r="AW159" i="2"/>
  <c r="AS30" i="2"/>
  <c r="AZ30" i="2"/>
  <c r="AQ30" i="2"/>
  <c r="AW30" i="2"/>
  <c r="AZ33" i="2"/>
  <c r="AW33" i="2"/>
  <c r="AQ33" i="2"/>
  <c r="AS33" i="2"/>
  <c r="AZ36" i="2"/>
  <c r="AW36" i="2"/>
  <c r="AS36" i="2"/>
  <c r="AQ36" i="2"/>
  <c r="AQ39" i="2"/>
  <c r="AZ39" i="2"/>
  <c r="AS39" i="2"/>
  <c r="AW39" i="2"/>
  <c r="AW42" i="2"/>
  <c r="AS42" i="2"/>
  <c r="AQ42" i="2"/>
  <c r="AZ42" i="2"/>
  <c r="AZ45" i="2"/>
  <c r="AW45" i="2"/>
  <c r="AQ45" i="2"/>
  <c r="AS45" i="2"/>
  <c r="AZ48" i="2"/>
  <c r="AW48" i="2"/>
  <c r="AS48" i="2"/>
  <c r="AQ48" i="2"/>
  <c r="AQ51" i="2"/>
  <c r="AW51" i="2"/>
  <c r="AS51" i="2"/>
  <c r="AZ51" i="2"/>
  <c r="AZ54" i="2"/>
  <c r="AS54" i="2"/>
  <c r="AQ54" i="2"/>
  <c r="AW54" i="2"/>
  <c r="AZ57" i="2"/>
  <c r="AW57" i="2"/>
  <c r="AQ57" i="2"/>
  <c r="AS57" i="2"/>
  <c r="AZ60" i="2"/>
  <c r="AW60" i="2"/>
  <c r="AS60" i="2"/>
  <c r="AQ60" i="2"/>
  <c r="AQ63" i="2"/>
  <c r="AS63" i="2"/>
  <c r="AZ63" i="2"/>
  <c r="AW63" i="2"/>
  <c r="AW66" i="2"/>
  <c r="AQ66" i="2"/>
  <c r="AZ66" i="2"/>
  <c r="AS66" i="2"/>
  <c r="AZ69" i="2"/>
  <c r="AW69" i="2"/>
  <c r="AS69" i="2"/>
  <c r="AQ69" i="2"/>
  <c r="AZ72" i="2"/>
  <c r="AW72" i="2"/>
  <c r="AQ72" i="2"/>
  <c r="AS72" i="2"/>
  <c r="AW75" i="2"/>
  <c r="AS75" i="2"/>
  <c r="AZ75" i="2"/>
  <c r="AQ75" i="2"/>
  <c r="AZ78" i="2"/>
  <c r="AQ78" i="2"/>
  <c r="AW78" i="2"/>
  <c r="AS78" i="2"/>
  <c r="AZ81" i="2"/>
  <c r="AW81" i="2"/>
  <c r="AQ81" i="2"/>
  <c r="AS81" i="2"/>
  <c r="AZ85" i="2"/>
  <c r="AW85" i="2"/>
  <c r="AS85" i="2"/>
  <c r="AQ85" i="2"/>
  <c r="AZ88" i="2"/>
  <c r="AW88" i="2"/>
  <c r="AQ88" i="2"/>
  <c r="AS88" i="2"/>
  <c r="AW91" i="2"/>
  <c r="AZ91" i="2"/>
  <c r="AS91" i="2"/>
  <c r="AQ91" i="2"/>
  <c r="AZ94" i="2"/>
  <c r="AQ94" i="2"/>
  <c r="AW94" i="2"/>
  <c r="AS94" i="2"/>
  <c r="AZ97" i="2"/>
  <c r="AW97" i="2"/>
  <c r="AQ97" i="2"/>
  <c r="AS97" i="2"/>
  <c r="AZ100" i="2"/>
  <c r="AW100" i="2"/>
  <c r="AQ100" i="2"/>
  <c r="AS100" i="2"/>
  <c r="AZ103" i="2"/>
  <c r="AQ103" i="2"/>
  <c r="AW103" i="2"/>
  <c r="AS103" i="2"/>
  <c r="AW106" i="2"/>
  <c r="AQ106" i="2"/>
  <c r="AS106" i="2"/>
  <c r="AZ106" i="2"/>
  <c r="AZ109" i="2"/>
  <c r="AW109" i="2"/>
  <c r="AQ109" i="2"/>
  <c r="AS109" i="2"/>
  <c r="AZ112" i="2"/>
  <c r="AW112" i="2"/>
  <c r="AQ112" i="2"/>
  <c r="AS112" i="2"/>
  <c r="AW115" i="2"/>
  <c r="AQ115" i="2"/>
  <c r="AS115" i="2"/>
  <c r="AZ115" i="2"/>
  <c r="AZ118" i="2"/>
  <c r="AQ118" i="2"/>
  <c r="AS118" i="2"/>
  <c r="AW118" i="2"/>
  <c r="AZ121" i="2"/>
  <c r="AW121" i="2"/>
  <c r="AS121" i="2"/>
  <c r="AQ121" i="2"/>
  <c r="AZ124" i="2"/>
  <c r="AW124" i="2"/>
  <c r="AQ124" i="2"/>
  <c r="AS124" i="2"/>
  <c r="AZ127" i="2"/>
  <c r="AS127" i="2"/>
  <c r="AQ127" i="2"/>
  <c r="AW127" i="2"/>
  <c r="AW130" i="2"/>
  <c r="AQ130" i="2"/>
  <c r="AZ130" i="2"/>
  <c r="AS130" i="2"/>
  <c r="AZ133" i="2"/>
  <c r="AW133" i="2"/>
  <c r="AQ133" i="2"/>
  <c r="AS133" i="2"/>
  <c r="AZ136" i="2"/>
  <c r="AW136" i="2"/>
  <c r="AQ136" i="2"/>
  <c r="AS136" i="2"/>
  <c r="AW138" i="2"/>
  <c r="AQ138" i="2"/>
  <c r="AS138" i="2"/>
  <c r="AZ138" i="2"/>
  <c r="AZ140" i="2"/>
  <c r="AW140" i="2"/>
  <c r="AQ140" i="2"/>
  <c r="AS140" i="2"/>
  <c r="AZ141" i="2"/>
  <c r="AW141" i="2"/>
  <c r="AQ141" i="2"/>
  <c r="AS141" i="2"/>
  <c r="AW28" i="2"/>
  <c r="AZ28" i="2"/>
  <c r="AS28" i="2"/>
  <c r="AQ28" i="2"/>
  <c r="AQ31" i="2"/>
  <c r="AZ31" i="2"/>
  <c r="AW31" i="2"/>
  <c r="AS31" i="2"/>
  <c r="AW34" i="2"/>
  <c r="AQ34" i="2"/>
  <c r="AZ34" i="2"/>
  <c r="AS34" i="2"/>
  <c r="AZ37" i="2"/>
  <c r="AW37" i="2"/>
  <c r="AQ37" i="2"/>
  <c r="AS37" i="2"/>
  <c r="AZ40" i="2"/>
  <c r="AW40" i="2"/>
  <c r="AQ40" i="2"/>
  <c r="AS40" i="2"/>
  <c r="AZ44" i="2"/>
  <c r="AW44" i="2"/>
  <c r="AQ44" i="2"/>
  <c r="AS44" i="2"/>
  <c r="AQ47" i="2"/>
  <c r="AZ47" i="2"/>
  <c r="AS47" i="2"/>
  <c r="AW47" i="2"/>
  <c r="AW50" i="2"/>
  <c r="AQ50" i="2"/>
  <c r="AZ50" i="2"/>
  <c r="AS50" i="2"/>
  <c r="AZ52" i="2"/>
  <c r="AW52" i="2"/>
  <c r="AS52" i="2"/>
  <c r="AQ52" i="2"/>
  <c r="AQ55" i="2"/>
  <c r="AS55" i="2"/>
  <c r="AZ55" i="2"/>
  <c r="AW55" i="2"/>
  <c r="AW58" i="2"/>
  <c r="AQ58" i="2"/>
  <c r="AS58" i="2"/>
  <c r="AZ58" i="2"/>
  <c r="AZ61" i="2"/>
  <c r="AW61" i="2"/>
  <c r="AQ61" i="2"/>
  <c r="AS61" i="2"/>
  <c r="AZ65" i="2"/>
  <c r="AW65" i="2"/>
  <c r="AQ65" i="2"/>
  <c r="AS65" i="2"/>
  <c r="AZ68" i="2"/>
  <c r="AW68" i="2"/>
  <c r="AQ68" i="2"/>
  <c r="AS68" i="2"/>
  <c r="AZ71" i="2"/>
  <c r="AS71" i="2"/>
  <c r="AW71" i="2"/>
  <c r="AQ71" i="2"/>
  <c r="AW74" i="2"/>
  <c r="AQ74" i="2"/>
  <c r="AS74" i="2"/>
  <c r="AZ74" i="2"/>
  <c r="AZ77" i="2"/>
  <c r="AW77" i="2"/>
  <c r="AS77" i="2"/>
  <c r="AQ77" i="2"/>
  <c r="AZ80" i="2"/>
  <c r="AW80" i="2"/>
  <c r="AQ80" i="2"/>
  <c r="AS80" i="2"/>
  <c r="AW83" i="2"/>
  <c r="AQ83" i="2"/>
  <c r="AS83" i="2"/>
  <c r="AZ83" i="2"/>
  <c r="AZ87" i="2"/>
  <c r="AQ87" i="2"/>
  <c r="AW87" i="2"/>
  <c r="AS87" i="2"/>
  <c r="AZ89" i="2"/>
  <c r="AW89" i="2"/>
  <c r="AS89" i="2"/>
  <c r="AQ89" i="2"/>
  <c r="AZ92" i="2"/>
  <c r="AW92" i="2"/>
  <c r="AQ92" i="2"/>
  <c r="AS92" i="2"/>
  <c r="AZ95" i="2"/>
  <c r="AS95" i="2"/>
  <c r="AW95" i="2"/>
  <c r="AQ95" i="2"/>
  <c r="AW98" i="2"/>
  <c r="AQ98" i="2"/>
  <c r="AZ98" i="2"/>
  <c r="AS98" i="2"/>
  <c r="AZ101" i="2"/>
  <c r="AW101" i="2"/>
  <c r="AS101" i="2"/>
  <c r="AQ101" i="2"/>
  <c r="AZ104" i="2"/>
  <c r="AW104" i="2"/>
  <c r="AQ104" i="2"/>
  <c r="AS104" i="2"/>
  <c r="AW107" i="2"/>
  <c r="AZ107" i="2"/>
  <c r="AQ107" i="2"/>
  <c r="AS107" i="2"/>
  <c r="AZ110" i="2"/>
  <c r="AQ110" i="2"/>
  <c r="AW110" i="2"/>
  <c r="AS110" i="2"/>
  <c r="AZ113" i="2"/>
  <c r="AW113" i="2"/>
  <c r="AQ113" i="2"/>
  <c r="AS113" i="2"/>
  <c r="AZ116" i="2"/>
  <c r="AW116" i="2"/>
  <c r="AQ116" i="2"/>
  <c r="AS116" i="2"/>
  <c r="AZ119" i="2"/>
  <c r="AQ119" i="2"/>
  <c r="AW119" i="2"/>
  <c r="AS119" i="2"/>
  <c r="AW122" i="2"/>
  <c r="AQ122" i="2"/>
  <c r="AS122" i="2"/>
  <c r="AZ122" i="2"/>
  <c r="AZ125" i="2"/>
  <c r="AW125" i="2"/>
  <c r="AQ125" i="2"/>
  <c r="AS125" i="2"/>
  <c r="AZ128" i="2"/>
  <c r="AW128" i="2"/>
  <c r="AQ128" i="2"/>
  <c r="AS128" i="2"/>
  <c r="AW131" i="2"/>
  <c r="AZ131" i="2"/>
  <c r="AQ131" i="2"/>
  <c r="AS131" i="2"/>
  <c r="AZ134" i="2"/>
  <c r="AQ134" i="2"/>
  <c r="AW134" i="2"/>
  <c r="AS134" i="2"/>
  <c r="AZ137" i="2"/>
  <c r="AW137" i="2"/>
  <c r="AS137" i="2"/>
  <c r="AQ137" i="2"/>
  <c r="AZ142" i="2"/>
  <c r="AW142" i="2"/>
  <c r="AS142" i="2"/>
  <c r="AQ142" i="2"/>
  <c r="AZ143" i="2"/>
  <c r="AQ143" i="2"/>
  <c r="AS143" i="2"/>
  <c r="AW143" i="2"/>
  <c r="AZ29" i="2"/>
  <c r="AW29" i="2"/>
  <c r="AQ29" i="2"/>
  <c r="AS29" i="2"/>
  <c r="AZ32" i="2"/>
  <c r="AW32" i="2"/>
  <c r="AS32" i="2"/>
  <c r="AQ32" i="2"/>
  <c r="AQ35" i="2"/>
  <c r="AW35" i="2"/>
  <c r="AS35" i="2"/>
  <c r="AZ35" i="2"/>
  <c r="AZ38" i="2"/>
  <c r="AS38" i="2"/>
  <c r="AQ38" i="2"/>
  <c r="AW38" i="2"/>
  <c r="AZ41" i="2"/>
  <c r="AW41" i="2"/>
  <c r="AQ41" i="2"/>
  <c r="AS41" i="2"/>
  <c r="AQ43" i="2"/>
  <c r="AS43" i="2"/>
  <c r="AW43" i="2"/>
  <c r="AZ43" i="2"/>
  <c r="AZ46" i="2"/>
  <c r="AQ46" i="2"/>
  <c r="AS46" i="2"/>
  <c r="AW46" i="2"/>
  <c r="AZ49" i="2"/>
  <c r="AW49" i="2"/>
  <c r="AQ49" i="2"/>
  <c r="AS49" i="2"/>
  <c r="AZ53" i="2"/>
  <c r="AW53" i="2"/>
  <c r="AQ53" i="2"/>
  <c r="AS53" i="2"/>
  <c r="AZ56" i="2"/>
  <c r="AW56" i="2"/>
  <c r="AQ56" i="2"/>
  <c r="AS56" i="2"/>
  <c r="AQ59" i="2"/>
  <c r="AW59" i="2"/>
  <c r="AS59" i="2"/>
  <c r="AZ59" i="2"/>
  <c r="AZ62" i="2"/>
  <c r="AS62" i="2"/>
  <c r="AW62" i="2"/>
  <c r="AQ62" i="2"/>
  <c r="AZ64" i="2"/>
  <c r="AW64" i="2"/>
  <c r="AQ64" i="2"/>
  <c r="AS64" i="2"/>
  <c r="AW67" i="2"/>
  <c r="AS67" i="2"/>
  <c r="AZ67" i="2"/>
  <c r="AQ67" i="2"/>
  <c r="AZ70" i="2"/>
  <c r="AQ70" i="2"/>
  <c r="AW70" i="2"/>
  <c r="AS70" i="2"/>
  <c r="AZ73" i="2"/>
  <c r="AW73" i="2"/>
  <c r="AS73" i="2"/>
  <c r="AQ73" i="2"/>
  <c r="AZ76" i="2"/>
  <c r="AW76" i="2"/>
  <c r="AQ76" i="2"/>
  <c r="AS76" i="2"/>
  <c r="AZ79" i="2"/>
  <c r="AS79" i="2"/>
  <c r="AW79" i="2"/>
  <c r="AQ79" i="2"/>
  <c r="AW82" i="2"/>
  <c r="AQ82" i="2"/>
  <c r="AZ82" i="2"/>
  <c r="AS82" i="2"/>
  <c r="AZ84" i="2"/>
  <c r="AW84" i="2"/>
  <c r="AQ84" i="2"/>
  <c r="AS84" i="2"/>
  <c r="AZ86" i="2"/>
  <c r="AQ86" i="2"/>
  <c r="AS86" i="2"/>
  <c r="AW86" i="2"/>
  <c r="AW90" i="2"/>
  <c r="AQ90" i="2"/>
  <c r="AS90" i="2"/>
  <c r="AZ90" i="2"/>
  <c r="AZ93" i="2"/>
  <c r="AW93" i="2"/>
  <c r="AQ93" i="2"/>
  <c r="AS93" i="2"/>
  <c r="AZ96" i="2"/>
  <c r="AW96" i="2"/>
  <c r="AQ96" i="2"/>
  <c r="AS96" i="2"/>
  <c r="AW99" i="2"/>
  <c r="AQ99" i="2"/>
  <c r="AS99" i="2"/>
  <c r="AZ99" i="2"/>
  <c r="AZ102" i="2"/>
  <c r="AQ102" i="2"/>
  <c r="AS102" i="2"/>
  <c r="AW102" i="2"/>
  <c r="AZ105" i="2"/>
  <c r="AW105" i="2"/>
  <c r="AS105" i="2"/>
  <c r="AQ105" i="2"/>
  <c r="AZ108" i="2"/>
  <c r="AW108" i="2"/>
  <c r="AQ108" i="2"/>
  <c r="AS108" i="2"/>
  <c r="AZ111" i="2"/>
  <c r="AS111" i="2"/>
  <c r="AW111" i="2"/>
  <c r="AQ111" i="2"/>
  <c r="AW114" i="2"/>
  <c r="AQ114" i="2"/>
  <c r="AZ114" i="2"/>
  <c r="AS114" i="2"/>
  <c r="AZ117" i="2"/>
  <c r="AW117" i="2"/>
  <c r="AS117" i="2"/>
  <c r="AQ117" i="2"/>
  <c r="AZ120" i="2"/>
  <c r="AW120" i="2"/>
  <c r="AQ120" i="2"/>
  <c r="AS120" i="2"/>
  <c r="AW123" i="2"/>
  <c r="AZ123" i="2"/>
  <c r="AQ123" i="2"/>
  <c r="AS123" i="2"/>
  <c r="AZ126" i="2"/>
  <c r="AQ126" i="2"/>
  <c r="AW126" i="2"/>
  <c r="AS126" i="2"/>
  <c r="AZ129" i="2"/>
  <c r="AW129" i="2"/>
  <c r="AS129" i="2"/>
  <c r="AQ129" i="2"/>
  <c r="AZ132" i="2"/>
  <c r="AW132" i="2"/>
  <c r="AQ132" i="2"/>
  <c r="AS132" i="2"/>
  <c r="AZ135" i="2"/>
  <c r="AS135" i="2"/>
  <c r="AW135" i="2"/>
  <c r="AQ135" i="2"/>
  <c r="AW139" i="2"/>
  <c r="AZ139" i="2"/>
  <c r="AQ139" i="2"/>
  <c r="AS139" i="2"/>
  <c r="AZ144" i="2"/>
  <c r="AW144" i="2"/>
  <c r="AS144" i="2"/>
  <c r="AQ144" i="2"/>
  <c r="AZ145" i="2"/>
  <c r="AW145" i="2"/>
  <c r="AS145" i="2"/>
  <c r="AQ145" i="2"/>
  <c r="CR125" i="2"/>
  <c r="CR124" i="2"/>
  <c r="F222" i="4" l="1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F154" i="4"/>
  <c r="F150" i="4"/>
  <c r="F146" i="4"/>
  <c r="F142" i="4"/>
  <c r="F138" i="4"/>
  <c r="F134" i="4"/>
  <c r="F130" i="4"/>
  <c r="F126" i="4"/>
  <c r="F122" i="4"/>
  <c r="H9" i="2"/>
  <c r="W3" i="1" s="1"/>
  <c r="H11" i="2"/>
  <c r="W5" i="1" s="1"/>
  <c r="AH13" i="2"/>
  <c r="AF4" i="1" s="1"/>
  <c r="H10" i="2"/>
  <c r="W4" i="1" s="1"/>
  <c r="R122" i="4"/>
  <c r="W122" i="4" s="1"/>
  <c r="X122" i="4" s="1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F167" i="4"/>
  <c r="F163" i="4"/>
  <c r="F159" i="4"/>
  <c r="F155" i="4"/>
  <c r="F151" i="4"/>
  <c r="F147" i="4"/>
  <c r="F143" i="4"/>
  <c r="F139" i="4"/>
  <c r="F135" i="4"/>
  <c r="F131" i="4"/>
  <c r="F127" i="4"/>
  <c r="F123" i="4"/>
  <c r="R192" i="4"/>
  <c r="S192" i="4" s="1"/>
  <c r="R152" i="4"/>
  <c r="T152" i="4" s="1"/>
  <c r="R136" i="4"/>
  <c r="T136" i="4" s="1"/>
  <c r="O224" i="4"/>
  <c r="P224" i="4" s="1"/>
  <c r="R224" i="4" s="1"/>
  <c r="W224" i="4" s="1"/>
  <c r="X224" i="4" s="1"/>
  <c r="O216" i="4"/>
  <c r="P216" i="4" s="1"/>
  <c r="R216" i="4" s="1"/>
  <c r="W216" i="4" s="1"/>
  <c r="X216" i="4" s="1"/>
  <c r="K213" i="4"/>
  <c r="K205" i="4"/>
  <c r="K197" i="4"/>
  <c r="K189" i="4"/>
  <c r="K181" i="4"/>
  <c r="K173" i="4"/>
  <c r="K165" i="4"/>
  <c r="O160" i="4"/>
  <c r="P160" i="4" s="1"/>
  <c r="R160" i="4" s="1"/>
  <c r="W160" i="4" s="1"/>
  <c r="X160" i="4" s="1"/>
  <c r="K149" i="4"/>
  <c r="O128" i="4"/>
  <c r="P128" i="4" s="1"/>
  <c r="R128" i="4" s="1"/>
  <c r="W128" i="4" s="1"/>
  <c r="X128" i="4" s="1"/>
  <c r="O221" i="4"/>
  <c r="P221" i="4" s="1"/>
  <c r="R221" i="4" s="1"/>
  <c r="W221" i="4" s="1"/>
  <c r="X221" i="4" s="1"/>
  <c r="K210" i="4"/>
  <c r="K202" i="4"/>
  <c r="K194" i="4"/>
  <c r="K186" i="4"/>
  <c r="O173" i="4"/>
  <c r="P173" i="4" s="1"/>
  <c r="R173" i="4" s="1"/>
  <c r="O157" i="4"/>
  <c r="P157" i="4" s="1"/>
  <c r="R157" i="4" s="1"/>
  <c r="O149" i="4"/>
  <c r="P149" i="4" s="1"/>
  <c r="R149" i="4" s="1"/>
  <c r="O133" i="4"/>
  <c r="P133" i="4" s="1"/>
  <c r="R133" i="4" s="1"/>
  <c r="W133" i="4" s="1"/>
  <c r="X133" i="4" s="1"/>
  <c r="K191" i="4"/>
  <c r="O178" i="4"/>
  <c r="P178" i="4" s="1"/>
  <c r="R178" i="4" s="1"/>
  <c r="W178" i="4" s="1"/>
  <c r="X178" i="4" s="1"/>
  <c r="O162" i="4"/>
  <c r="P162" i="4" s="1"/>
  <c r="R162" i="4" s="1"/>
  <c r="W162" i="4" s="1"/>
  <c r="X162" i="4" s="1"/>
  <c r="O146" i="4"/>
  <c r="P146" i="4" s="1"/>
  <c r="R146" i="4" s="1"/>
  <c r="W146" i="4" s="1"/>
  <c r="X146" i="4" s="1"/>
  <c r="K135" i="4"/>
  <c r="K220" i="4"/>
  <c r="O207" i="4"/>
  <c r="P207" i="4" s="1"/>
  <c r="R207" i="4" s="1"/>
  <c r="K188" i="4"/>
  <c r="O175" i="4"/>
  <c r="P175" i="4" s="1"/>
  <c r="R175" i="4" s="1"/>
  <c r="W175" i="4" s="1"/>
  <c r="X175" i="4" s="1"/>
  <c r="K164" i="4"/>
  <c r="K156" i="4"/>
  <c r="K148" i="4"/>
  <c r="K140" i="4"/>
  <c r="K132" i="4"/>
  <c r="K224" i="4"/>
  <c r="O219" i="4"/>
  <c r="P219" i="4" s="1"/>
  <c r="R219" i="4" s="1"/>
  <c r="W219" i="4" s="1"/>
  <c r="X219" i="4" s="1"/>
  <c r="K216" i="4"/>
  <c r="O211" i="4"/>
  <c r="P211" i="4" s="1"/>
  <c r="R211" i="4" s="1"/>
  <c r="W211" i="4" s="1"/>
  <c r="X211" i="4" s="1"/>
  <c r="K208" i="4"/>
  <c r="O203" i="4"/>
  <c r="P203" i="4" s="1"/>
  <c r="R203" i="4" s="1"/>
  <c r="W203" i="4" s="1"/>
  <c r="X203" i="4" s="1"/>
  <c r="K200" i="4"/>
  <c r="O195" i="4"/>
  <c r="P195" i="4" s="1"/>
  <c r="R195" i="4" s="1"/>
  <c r="W195" i="4" s="1"/>
  <c r="X195" i="4" s="1"/>
  <c r="K192" i="4"/>
  <c r="O187" i="4"/>
  <c r="P187" i="4" s="1"/>
  <c r="R187" i="4" s="1"/>
  <c r="W187" i="4" s="1"/>
  <c r="X187" i="4" s="1"/>
  <c r="K184" i="4"/>
  <c r="O179" i="4"/>
  <c r="P179" i="4" s="1"/>
  <c r="R179" i="4" s="1"/>
  <c r="W179" i="4" s="1"/>
  <c r="X179" i="4" s="1"/>
  <c r="K176" i="4"/>
  <c r="O171" i="4"/>
  <c r="P171" i="4" s="1"/>
  <c r="R171" i="4" s="1"/>
  <c r="W171" i="4" s="1"/>
  <c r="X171" i="4" s="1"/>
  <c r="K168" i="4"/>
  <c r="O163" i="4"/>
  <c r="P163" i="4" s="1"/>
  <c r="R163" i="4" s="1"/>
  <c r="W163" i="4" s="1"/>
  <c r="X163" i="4" s="1"/>
  <c r="K160" i="4"/>
  <c r="O155" i="4"/>
  <c r="P155" i="4" s="1"/>
  <c r="R155" i="4" s="1"/>
  <c r="W155" i="4" s="1"/>
  <c r="X155" i="4" s="1"/>
  <c r="K152" i="4"/>
  <c r="O147" i="4"/>
  <c r="P147" i="4" s="1"/>
  <c r="R147" i="4" s="1"/>
  <c r="W147" i="4" s="1"/>
  <c r="X147" i="4" s="1"/>
  <c r="K144" i="4"/>
  <c r="O139" i="4"/>
  <c r="P139" i="4" s="1"/>
  <c r="R139" i="4" s="1"/>
  <c r="W139" i="4" s="1"/>
  <c r="X139" i="4" s="1"/>
  <c r="K136" i="4"/>
  <c r="O131" i="4"/>
  <c r="P131" i="4" s="1"/>
  <c r="R131" i="4" s="1"/>
  <c r="W131" i="4" s="1"/>
  <c r="X131" i="4" s="1"/>
  <c r="K128" i="4"/>
  <c r="F225" i="4"/>
  <c r="F224" i="4"/>
  <c r="F220" i="4"/>
  <c r="F216" i="4"/>
  <c r="F212" i="4"/>
  <c r="F208" i="4"/>
  <c r="F204" i="4"/>
  <c r="F200" i="4"/>
  <c r="F196" i="4"/>
  <c r="F192" i="4"/>
  <c r="F188" i="4"/>
  <c r="F184" i="4"/>
  <c r="F180" i="4"/>
  <c r="F176" i="4"/>
  <c r="F172" i="4"/>
  <c r="F168" i="4"/>
  <c r="F164" i="4"/>
  <c r="F160" i="4"/>
  <c r="F156" i="4"/>
  <c r="F152" i="4"/>
  <c r="F148" i="4"/>
  <c r="F144" i="4"/>
  <c r="F140" i="4"/>
  <c r="F136" i="4"/>
  <c r="F132" i="4"/>
  <c r="F128" i="4"/>
  <c r="F124" i="4"/>
  <c r="K221" i="4"/>
  <c r="O208" i="4"/>
  <c r="P208" i="4" s="1"/>
  <c r="R208" i="4" s="1"/>
  <c r="W208" i="4" s="1"/>
  <c r="X208" i="4" s="1"/>
  <c r="O200" i="4"/>
  <c r="P200" i="4" s="1"/>
  <c r="R200" i="4" s="1"/>
  <c r="W200" i="4" s="1"/>
  <c r="X200" i="4" s="1"/>
  <c r="O184" i="4"/>
  <c r="P184" i="4" s="1"/>
  <c r="R184" i="4" s="1"/>
  <c r="W184" i="4" s="1"/>
  <c r="X184" i="4" s="1"/>
  <c r="O176" i="4"/>
  <c r="P176" i="4" s="1"/>
  <c r="R176" i="4" s="1"/>
  <c r="W176" i="4" s="1"/>
  <c r="X176" i="4" s="1"/>
  <c r="O168" i="4"/>
  <c r="P168" i="4" s="1"/>
  <c r="R168" i="4" s="1"/>
  <c r="W168" i="4" s="1"/>
  <c r="X168" i="4" s="1"/>
  <c r="K157" i="4"/>
  <c r="O144" i="4"/>
  <c r="P144" i="4" s="1"/>
  <c r="R144" i="4" s="1"/>
  <c r="W144" i="4" s="1"/>
  <c r="X144" i="4" s="1"/>
  <c r="K125" i="4"/>
  <c r="K218" i="4"/>
  <c r="O210" i="4"/>
  <c r="P210" i="4" s="1"/>
  <c r="R210" i="4" s="1"/>
  <c r="W210" i="4" s="1"/>
  <c r="X210" i="4" s="1"/>
  <c r="K199" i="4"/>
  <c r="O186" i="4"/>
  <c r="P186" i="4" s="1"/>
  <c r="R186" i="4" s="1"/>
  <c r="W186" i="4" s="1"/>
  <c r="X186" i="4" s="1"/>
  <c r="K159" i="4"/>
  <c r="K151" i="4"/>
  <c r="K127" i="4"/>
  <c r="O223" i="4"/>
  <c r="P223" i="4" s="1"/>
  <c r="R223" i="4" s="1"/>
  <c r="K212" i="4"/>
  <c r="K196" i="4"/>
  <c r="O167" i="4"/>
  <c r="P167" i="4" s="1"/>
  <c r="R167" i="4" s="1"/>
  <c r="W167" i="4" s="1"/>
  <c r="X167" i="4" s="1"/>
  <c r="O151" i="4"/>
  <c r="P151" i="4" s="1"/>
  <c r="R151" i="4" s="1"/>
  <c r="K124" i="4"/>
  <c r="O220" i="4"/>
  <c r="P220" i="4" s="1"/>
  <c r="R220" i="4" s="1"/>
  <c r="K217" i="4"/>
  <c r="O212" i="4"/>
  <c r="P212" i="4" s="1"/>
  <c r="R212" i="4" s="1"/>
  <c r="K209" i="4"/>
  <c r="O204" i="4"/>
  <c r="P204" i="4" s="1"/>
  <c r="R204" i="4" s="1"/>
  <c r="W204" i="4" s="1"/>
  <c r="X204" i="4" s="1"/>
  <c r="K201" i="4"/>
  <c r="R196" i="4"/>
  <c r="K193" i="4"/>
  <c r="R188" i="4"/>
  <c r="K185" i="4"/>
  <c r="O180" i="4"/>
  <c r="P180" i="4" s="1"/>
  <c r="R180" i="4" s="1"/>
  <c r="K177" i="4"/>
  <c r="R172" i="4"/>
  <c r="K169" i="4"/>
  <c r="R164" i="4"/>
  <c r="K161" i="4"/>
  <c r="O156" i="4"/>
  <c r="P156" i="4" s="1"/>
  <c r="R156" i="4" s="1"/>
  <c r="K153" i="4"/>
  <c r="R148" i="4"/>
  <c r="K145" i="4"/>
  <c r="O140" i="4"/>
  <c r="P140" i="4" s="1"/>
  <c r="R140" i="4" s="1"/>
  <c r="W140" i="4" s="1"/>
  <c r="X140" i="4" s="1"/>
  <c r="K137" i="4"/>
  <c r="O132" i="4"/>
  <c r="P132" i="4" s="1"/>
  <c r="R132" i="4" s="1"/>
  <c r="K129" i="4"/>
  <c r="O124" i="4"/>
  <c r="P124" i="4" s="1"/>
  <c r="R124" i="4" s="1"/>
  <c r="W124" i="4" s="1"/>
  <c r="X124" i="4" s="1"/>
  <c r="R121" i="4"/>
  <c r="K141" i="4"/>
  <c r="K122" i="4"/>
  <c r="O189" i="4"/>
  <c r="P189" i="4" s="1"/>
  <c r="R189" i="4" s="1"/>
  <c r="W189" i="4" s="1"/>
  <c r="X189" i="4" s="1"/>
  <c r="K178" i="4"/>
  <c r="K170" i="4"/>
  <c r="K162" i="4"/>
  <c r="K154" i="4"/>
  <c r="K146" i="4"/>
  <c r="K138" i="4"/>
  <c r="O125" i="4"/>
  <c r="P125" i="4" s="1"/>
  <c r="R125" i="4" s="1"/>
  <c r="O218" i="4"/>
  <c r="P218" i="4" s="1"/>
  <c r="R218" i="4" s="1"/>
  <c r="W218" i="4" s="1"/>
  <c r="X218" i="4" s="1"/>
  <c r="O202" i="4"/>
  <c r="P202" i="4" s="1"/>
  <c r="R202" i="4" s="1"/>
  <c r="W202" i="4" s="1"/>
  <c r="X202" i="4" s="1"/>
  <c r="O194" i="4"/>
  <c r="P194" i="4" s="1"/>
  <c r="R194" i="4" s="1"/>
  <c r="W194" i="4" s="1"/>
  <c r="X194" i="4" s="1"/>
  <c r="K175" i="4"/>
  <c r="K167" i="4"/>
  <c r="K143" i="4"/>
  <c r="O130" i="4"/>
  <c r="P130" i="4" s="1"/>
  <c r="R130" i="4" s="1"/>
  <c r="W130" i="4" s="1"/>
  <c r="X130" i="4" s="1"/>
  <c r="O215" i="4"/>
  <c r="P215" i="4" s="1"/>
  <c r="R215" i="4" s="1"/>
  <c r="W215" i="4" s="1"/>
  <c r="X215" i="4" s="1"/>
  <c r="O199" i="4"/>
  <c r="P199" i="4" s="1"/>
  <c r="R199" i="4" s="1"/>
  <c r="O183" i="4"/>
  <c r="P183" i="4" s="1"/>
  <c r="R183" i="4" s="1"/>
  <c r="W183" i="4" s="1"/>
  <c r="X183" i="4" s="1"/>
  <c r="O159" i="4"/>
  <c r="P159" i="4" s="1"/>
  <c r="R159" i="4" s="1"/>
  <c r="O135" i="4"/>
  <c r="P135" i="4" s="1"/>
  <c r="R135" i="4" s="1"/>
  <c r="W135" i="4" s="1"/>
  <c r="X135" i="4" s="1"/>
  <c r="K121" i="4"/>
  <c r="U121" i="4"/>
  <c r="V121" i="4" s="1"/>
  <c r="K222" i="4"/>
  <c r="O217" i="4"/>
  <c r="P217" i="4" s="1"/>
  <c r="R217" i="4" s="1"/>
  <c r="W217" i="4" s="1"/>
  <c r="X217" i="4" s="1"/>
  <c r="K214" i="4"/>
  <c r="R209" i="4"/>
  <c r="K206" i="4"/>
  <c r="O201" i="4"/>
  <c r="P201" i="4" s="1"/>
  <c r="R201" i="4" s="1"/>
  <c r="W201" i="4" s="1"/>
  <c r="X201" i="4" s="1"/>
  <c r="K198" i="4"/>
  <c r="O193" i="4"/>
  <c r="P193" i="4" s="1"/>
  <c r="R193" i="4" s="1"/>
  <c r="W193" i="4" s="1"/>
  <c r="X193" i="4" s="1"/>
  <c r="K190" i="4"/>
  <c r="O185" i="4"/>
  <c r="P185" i="4" s="1"/>
  <c r="R185" i="4" s="1"/>
  <c r="K182" i="4"/>
  <c r="O177" i="4"/>
  <c r="P177" i="4" s="1"/>
  <c r="R177" i="4" s="1"/>
  <c r="K174" i="4"/>
  <c r="O169" i="4"/>
  <c r="P169" i="4" s="1"/>
  <c r="R169" i="4" s="1"/>
  <c r="W169" i="4" s="1"/>
  <c r="X169" i="4" s="1"/>
  <c r="K166" i="4"/>
  <c r="O161" i="4"/>
  <c r="P161" i="4" s="1"/>
  <c r="R161" i="4" s="1"/>
  <c r="K158" i="4"/>
  <c r="O153" i="4"/>
  <c r="P153" i="4" s="1"/>
  <c r="R153" i="4" s="1"/>
  <c r="W153" i="4" s="1"/>
  <c r="X153" i="4" s="1"/>
  <c r="K150" i="4"/>
  <c r="O145" i="4"/>
  <c r="P145" i="4" s="1"/>
  <c r="R145" i="4" s="1"/>
  <c r="W145" i="4" s="1"/>
  <c r="X145" i="4" s="1"/>
  <c r="K142" i="4"/>
  <c r="O137" i="4"/>
  <c r="P137" i="4" s="1"/>
  <c r="R137" i="4" s="1"/>
  <c r="W137" i="4" s="1"/>
  <c r="X137" i="4" s="1"/>
  <c r="K134" i="4"/>
  <c r="O129" i="4"/>
  <c r="P129" i="4" s="1"/>
  <c r="R129" i="4" s="1"/>
  <c r="W129" i="4" s="1"/>
  <c r="X129" i="4" s="1"/>
  <c r="K126" i="4"/>
  <c r="E123" i="4"/>
  <c r="J123" i="4"/>
  <c r="Z123" i="4"/>
  <c r="E120" i="4"/>
  <c r="J120" i="4"/>
  <c r="Z120" i="4"/>
  <c r="F221" i="4"/>
  <c r="F217" i="4"/>
  <c r="F213" i="4"/>
  <c r="F209" i="4"/>
  <c r="F205" i="4"/>
  <c r="F201" i="4"/>
  <c r="F197" i="4"/>
  <c r="F193" i="4"/>
  <c r="F189" i="4"/>
  <c r="F185" i="4"/>
  <c r="F181" i="4"/>
  <c r="F177" i="4"/>
  <c r="F173" i="4"/>
  <c r="F169" i="4"/>
  <c r="F165" i="4"/>
  <c r="F161" i="4"/>
  <c r="F157" i="4"/>
  <c r="F153" i="4"/>
  <c r="F149" i="4"/>
  <c r="F145" i="4"/>
  <c r="F141" i="4"/>
  <c r="F137" i="4"/>
  <c r="F133" i="4"/>
  <c r="F129" i="4"/>
  <c r="F125" i="4"/>
  <c r="K133" i="4"/>
  <c r="O213" i="4"/>
  <c r="P213" i="4" s="1"/>
  <c r="R213" i="4" s="1"/>
  <c r="W213" i="4" s="1"/>
  <c r="X213" i="4" s="1"/>
  <c r="O205" i="4"/>
  <c r="P205" i="4" s="1"/>
  <c r="R205" i="4" s="1"/>
  <c r="W205" i="4" s="1"/>
  <c r="X205" i="4" s="1"/>
  <c r="O197" i="4"/>
  <c r="P197" i="4" s="1"/>
  <c r="R197" i="4" s="1"/>
  <c r="W197" i="4" s="1"/>
  <c r="X197" i="4" s="1"/>
  <c r="O181" i="4"/>
  <c r="P181" i="4" s="1"/>
  <c r="R181" i="4" s="1"/>
  <c r="W181" i="4" s="1"/>
  <c r="X181" i="4" s="1"/>
  <c r="O165" i="4"/>
  <c r="P165" i="4" s="1"/>
  <c r="R165" i="4" s="1"/>
  <c r="W165" i="4" s="1"/>
  <c r="X165" i="4" s="1"/>
  <c r="O141" i="4"/>
  <c r="P141" i="4" s="1"/>
  <c r="R141" i="4" s="1"/>
  <c r="K130" i="4"/>
  <c r="K223" i="4"/>
  <c r="K215" i="4"/>
  <c r="K207" i="4"/>
  <c r="K183" i="4"/>
  <c r="O170" i="4"/>
  <c r="P170" i="4" s="1"/>
  <c r="R170" i="4" s="1"/>
  <c r="W170" i="4" s="1"/>
  <c r="X170" i="4" s="1"/>
  <c r="O154" i="4"/>
  <c r="P154" i="4" s="1"/>
  <c r="R154" i="4" s="1"/>
  <c r="W154" i="4" s="1"/>
  <c r="X154" i="4" s="1"/>
  <c r="O138" i="4"/>
  <c r="P138" i="4" s="1"/>
  <c r="R138" i="4" s="1"/>
  <c r="W138" i="4" s="1"/>
  <c r="X138" i="4" s="1"/>
  <c r="K204" i="4"/>
  <c r="O191" i="4"/>
  <c r="P191" i="4" s="1"/>
  <c r="R191" i="4" s="1"/>
  <c r="W191" i="4" s="1"/>
  <c r="X191" i="4" s="1"/>
  <c r="K180" i="4"/>
  <c r="K172" i="4"/>
  <c r="O143" i="4"/>
  <c r="P143" i="4" s="1"/>
  <c r="R143" i="4" s="1"/>
  <c r="O127" i="4"/>
  <c r="P127" i="4" s="1"/>
  <c r="R127" i="4" s="1"/>
  <c r="W127" i="4" s="1"/>
  <c r="X127" i="4" s="1"/>
  <c r="O222" i="4"/>
  <c r="P222" i="4" s="1"/>
  <c r="R222" i="4" s="1"/>
  <c r="W222" i="4" s="1"/>
  <c r="X222" i="4" s="1"/>
  <c r="K219" i="4"/>
  <c r="R214" i="4"/>
  <c r="K211" i="4"/>
  <c r="R206" i="4"/>
  <c r="K203" i="4"/>
  <c r="O198" i="4"/>
  <c r="P198" i="4" s="1"/>
  <c r="R198" i="4" s="1"/>
  <c r="K195" i="4"/>
  <c r="O190" i="4"/>
  <c r="P190" i="4" s="1"/>
  <c r="R190" i="4" s="1"/>
  <c r="W190" i="4" s="1"/>
  <c r="X190" i="4" s="1"/>
  <c r="K187" i="4"/>
  <c r="R182" i="4"/>
  <c r="K179" i="4"/>
  <c r="O174" i="4"/>
  <c r="P174" i="4" s="1"/>
  <c r="R174" i="4" s="1"/>
  <c r="W174" i="4" s="1"/>
  <c r="X174" i="4" s="1"/>
  <c r="K171" i="4"/>
  <c r="R166" i="4"/>
  <c r="K163" i="4"/>
  <c r="O158" i="4"/>
  <c r="P158" i="4" s="1"/>
  <c r="R158" i="4" s="1"/>
  <c r="W158" i="4" s="1"/>
  <c r="X158" i="4" s="1"/>
  <c r="K155" i="4"/>
  <c r="O150" i="4"/>
  <c r="P150" i="4" s="1"/>
  <c r="R150" i="4" s="1"/>
  <c r="W150" i="4" s="1"/>
  <c r="X150" i="4" s="1"/>
  <c r="K147" i="4"/>
  <c r="O142" i="4"/>
  <c r="P142" i="4" s="1"/>
  <c r="R142" i="4" s="1"/>
  <c r="K139" i="4"/>
  <c r="O134" i="4"/>
  <c r="P134" i="4" s="1"/>
  <c r="R134" i="4" s="1"/>
  <c r="W134" i="4" s="1"/>
  <c r="X134" i="4" s="1"/>
  <c r="K131" i="4"/>
  <c r="O126" i="4"/>
  <c r="P126" i="4" s="1"/>
  <c r="R126" i="4" s="1"/>
  <c r="W126" i="4" s="1"/>
  <c r="X126" i="4" s="1"/>
  <c r="V139" i="1"/>
  <c r="V143" i="1"/>
  <c r="V133" i="1"/>
  <c r="V126" i="1"/>
  <c r="V123" i="1"/>
  <c r="D14" i="2"/>
  <c r="V118" i="1"/>
  <c r="V112" i="1"/>
  <c r="V115" i="1"/>
  <c r="CW95" i="2"/>
  <c r="CZ95" i="2" s="1"/>
  <c r="CW79" i="2"/>
  <c r="CZ79" i="2" s="1"/>
  <c r="CY95" i="2"/>
  <c r="CW48" i="2"/>
  <c r="CZ48" i="2" s="1"/>
  <c r="CW39" i="2"/>
  <c r="CZ39" i="2" s="1"/>
  <c r="S4" i="1"/>
  <c r="S5" i="1"/>
  <c r="S10" i="1"/>
  <c r="D16" i="2"/>
  <c r="E16" i="2" s="1"/>
  <c r="U11" i="1" s="1"/>
  <c r="S11" i="1"/>
  <c r="S6" i="1"/>
  <c r="S7" i="1"/>
  <c r="S9" i="1"/>
  <c r="S8" i="1"/>
  <c r="CY40" i="2"/>
  <c r="U6" i="1"/>
  <c r="D13" i="2"/>
  <c r="D15" i="2"/>
  <c r="T4" i="1"/>
  <c r="U7" i="1"/>
  <c r="T6" i="1"/>
  <c r="CW117" i="2"/>
  <c r="CZ117" i="2" s="1"/>
  <c r="CW109" i="2"/>
  <c r="CZ109" i="2" s="1"/>
  <c r="U5" i="1"/>
  <c r="T5" i="1"/>
  <c r="U4" i="1"/>
  <c r="T7" i="1"/>
  <c r="CW49" i="2"/>
  <c r="CZ49" i="2" s="1"/>
  <c r="CW74" i="2"/>
  <c r="CZ74" i="2" s="1"/>
  <c r="CW80" i="2"/>
  <c r="CZ80" i="2" s="1"/>
  <c r="CW96" i="2"/>
  <c r="CZ96" i="2" s="1"/>
  <c r="CW125" i="2"/>
  <c r="CZ125" i="2" s="1"/>
  <c r="CW58" i="2"/>
  <c r="CZ58" i="2" s="1"/>
  <c r="CY110" i="2"/>
  <c r="CY81" i="2"/>
  <c r="CW99" i="2"/>
  <c r="CZ99" i="2" s="1"/>
  <c r="CW110" i="2"/>
  <c r="CZ110" i="2" s="1"/>
  <c r="CZ28" i="2"/>
  <c r="CW33" i="2"/>
  <c r="CZ33" i="2" s="1"/>
  <c r="CW108" i="2"/>
  <c r="CZ108" i="2" s="1"/>
  <c r="CW86" i="2"/>
  <c r="CZ86" i="2" s="1"/>
  <c r="CW123" i="2"/>
  <c r="CZ123" i="2" s="1"/>
  <c r="CW106" i="2"/>
  <c r="CZ106" i="2" s="1"/>
  <c r="CW47" i="2"/>
  <c r="CZ47" i="2" s="1"/>
  <c r="CW132" i="2"/>
  <c r="CZ132" i="2" s="1"/>
  <c r="CW115" i="2"/>
  <c r="CZ115" i="2" s="1"/>
  <c r="CW102" i="2"/>
  <c r="CZ102" i="2" s="1"/>
  <c r="CW112" i="2"/>
  <c r="CZ112" i="2" s="1"/>
  <c r="CW124" i="2"/>
  <c r="CZ124" i="2" s="1"/>
  <c r="CW64" i="2"/>
  <c r="CZ64" i="2" s="1"/>
  <c r="CW120" i="2"/>
  <c r="CZ120" i="2" s="1"/>
  <c r="CW67" i="2"/>
  <c r="CZ67" i="2" s="1"/>
  <c r="CW126" i="2"/>
  <c r="CZ126" i="2" s="1"/>
  <c r="CW118" i="2"/>
  <c r="CZ118" i="2" s="1"/>
  <c r="CW131" i="2"/>
  <c r="CZ131" i="2" s="1"/>
  <c r="CW91" i="2"/>
  <c r="CZ91" i="2" s="1"/>
  <c r="CW93" i="2"/>
  <c r="CZ93" i="2" s="1"/>
  <c r="CW121" i="2"/>
  <c r="CZ121" i="2" s="1"/>
  <c r="CW113" i="2"/>
  <c r="CZ113" i="2" s="1"/>
  <c r="CW128" i="2"/>
  <c r="CZ128" i="2" s="1"/>
  <c r="CY128" i="2"/>
  <c r="CW38" i="2"/>
  <c r="CZ38" i="2" s="1"/>
  <c r="CW90" i="2"/>
  <c r="CZ90" i="2" s="1"/>
  <c r="CY64" i="2"/>
  <c r="CY121" i="2"/>
  <c r="CY131" i="2"/>
  <c r="CW111" i="2"/>
  <c r="CZ111" i="2" s="1"/>
  <c r="CW101" i="2"/>
  <c r="CZ101" i="2" s="1"/>
  <c r="CW130" i="2"/>
  <c r="CZ130" i="2" s="1"/>
  <c r="CW122" i="2"/>
  <c r="CZ122" i="2" s="1"/>
  <c r="CW114" i="2"/>
  <c r="CZ114" i="2" s="1"/>
  <c r="CW105" i="2"/>
  <c r="CZ105" i="2" s="1"/>
  <c r="CW89" i="2"/>
  <c r="CZ89" i="2" s="1"/>
  <c r="CW56" i="2"/>
  <c r="CZ56" i="2" s="1"/>
  <c r="CW92" i="2"/>
  <c r="CZ92" i="2" s="1"/>
  <c r="CW37" i="2"/>
  <c r="CZ37" i="2" s="1"/>
  <c r="CY123" i="2"/>
  <c r="CW29" i="2"/>
  <c r="CZ29" i="2" s="1"/>
  <c r="CW68" i="2"/>
  <c r="CZ68" i="2" s="1"/>
  <c r="CW127" i="2"/>
  <c r="CZ127" i="2" s="1"/>
  <c r="CW119" i="2"/>
  <c r="CZ119" i="2" s="1"/>
  <c r="CY106" i="2"/>
  <c r="CW46" i="2"/>
  <c r="CZ46" i="2" s="1"/>
  <c r="CW94" i="2"/>
  <c r="CZ94" i="2" s="1"/>
  <c r="CY91" i="2"/>
  <c r="CY29" i="2"/>
  <c r="CW116" i="2"/>
  <c r="CZ116" i="2" s="1"/>
  <c r="CW30" i="2"/>
  <c r="CZ30" i="2" s="1"/>
  <c r="CW97" i="2"/>
  <c r="CZ97" i="2" s="1"/>
  <c r="CW82" i="2"/>
  <c r="CZ82" i="2" s="1"/>
  <c r="CW84" i="2"/>
  <c r="CZ84" i="2" s="1"/>
  <c r="CW85" i="2"/>
  <c r="CZ85" i="2" s="1"/>
  <c r="CW57" i="2"/>
  <c r="CZ57" i="2" s="1"/>
  <c r="CW129" i="2"/>
  <c r="CZ129" i="2" s="1"/>
  <c r="CW104" i="2"/>
  <c r="CZ104" i="2" s="1"/>
  <c r="CW100" i="2"/>
  <c r="CZ100" i="2" s="1"/>
  <c r="CY82" i="2"/>
  <c r="CY122" i="2"/>
  <c r="CW87" i="2"/>
  <c r="CZ87" i="2" s="1"/>
  <c r="CY127" i="2"/>
  <c r="CY130" i="2"/>
  <c r="CY118" i="2"/>
  <c r="CY102" i="2"/>
  <c r="CW88" i="2"/>
  <c r="CZ88" i="2" s="1"/>
  <c r="CY68" i="2"/>
  <c r="CY112" i="2"/>
  <c r="CW98" i="2"/>
  <c r="CZ98" i="2" s="1"/>
  <c r="CW83" i="2"/>
  <c r="CZ83" i="2" s="1"/>
  <c r="CW63" i="2"/>
  <c r="CZ63" i="2" s="1"/>
  <c r="CW35" i="2"/>
  <c r="CZ35" i="2" s="1"/>
  <c r="CW107" i="2"/>
  <c r="CZ107" i="2" s="1"/>
  <c r="CW51" i="2"/>
  <c r="CZ51" i="2" s="1"/>
  <c r="CW103" i="2"/>
  <c r="CZ103" i="2" s="1"/>
  <c r="CW75" i="2"/>
  <c r="CZ75" i="2" s="1"/>
  <c r="CW78" i="2"/>
  <c r="CZ78" i="2" s="1"/>
  <c r="CW53" i="2"/>
  <c r="CZ53" i="2" s="1"/>
  <c r="CW62" i="2"/>
  <c r="CZ62" i="2" s="1"/>
  <c r="CW44" i="2"/>
  <c r="CZ44" i="2" s="1"/>
  <c r="CW69" i="2"/>
  <c r="CZ69" i="2" s="1"/>
  <c r="CW50" i="2"/>
  <c r="CZ50" i="2" s="1"/>
  <c r="CY113" i="2"/>
  <c r="CY50" i="2"/>
  <c r="CW72" i="2"/>
  <c r="CZ72" i="2" s="1"/>
  <c r="CW73" i="2"/>
  <c r="CZ73" i="2" s="1"/>
  <c r="CW55" i="2"/>
  <c r="CZ55" i="2" s="1"/>
  <c r="CW36" i="2"/>
  <c r="CZ36" i="2" s="1"/>
  <c r="CW59" i="2"/>
  <c r="CZ59" i="2" s="1"/>
  <c r="CY34" i="2"/>
  <c r="CY58" i="2"/>
  <c r="CW42" i="2"/>
  <c r="CZ42" i="2" s="1"/>
  <c r="CW65" i="2"/>
  <c r="CZ65" i="2" s="1"/>
  <c r="CW66" i="2"/>
  <c r="CZ66" i="2" s="1"/>
  <c r="CW40" i="2"/>
  <c r="CZ40" i="2" s="1"/>
  <c r="CW31" i="2"/>
  <c r="CZ31" i="2" s="1"/>
  <c r="E18" i="2"/>
  <c r="U12" i="1" s="1"/>
  <c r="CW43" i="2"/>
  <c r="CZ43" i="2" s="1"/>
  <c r="CW52" i="2"/>
  <c r="CZ52" i="2" s="1"/>
  <c r="CW54" i="2"/>
  <c r="CZ54" i="2" s="1"/>
  <c r="CW71" i="2"/>
  <c r="CZ71" i="2" s="1"/>
  <c r="CY36" i="2"/>
  <c r="CY49" i="2"/>
  <c r="CY35" i="2"/>
  <c r="CY67" i="2"/>
  <c r="CW32" i="2"/>
  <c r="CZ32" i="2" s="1"/>
  <c r="CW70" i="2"/>
  <c r="CZ70" i="2" s="1"/>
  <c r="CY55" i="2"/>
  <c r="CW34" i="2"/>
  <c r="CZ34" i="2" s="1"/>
  <c r="CW76" i="2"/>
  <c r="CZ76" i="2" s="1"/>
  <c r="CY62" i="2"/>
  <c r="CY44" i="2"/>
  <c r="CY51" i="2"/>
  <c r="CW77" i="2"/>
  <c r="CZ77" i="2" s="1"/>
  <c r="CW61" i="2"/>
  <c r="CZ61" i="2" s="1"/>
  <c r="CW45" i="2"/>
  <c r="CZ45" i="2" s="1"/>
  <c r="CW60" i="2"/>
  <c r="CZ60" i="2" s="1"/>
  <c r="CW41" i="2"/>
  <c r="CZ41" i="2" s="1"/>
  <c r="CW141" i="2"/>
  <c r="CZ141" i="2" s="1"/>
  <c r="CY141" i="2"/>
  <c r="CY147" i="2"/>
  <c r="CW147" i="2"/>
  <c r="CZ147" i="2" s="1"/>
  <c r="CY156" i="2"/>
  <c r="CW156" i="2"/>
  <c r="CZ156" i="2" s="1"/>
  <c r="CW142" i="2"/>
  <c r="CZ142" i="2" s="1"/>
  <c r="CY142" i="2"/>
  <c r="CY148" i="2"/>
  <c r="CW148" i="2"/>
  <c r="CZ148" i="2" s="1"/>
  <c r="CY145" i="2"/>
  <c r="CW145" i="2"/>
  <c r="CZ145" i="2" s="1"/>
  <c r="CW136" i="2"/>
  <c r="CZ136" i="2" s="1"/>
  <c r="CY136" i="2"/>
  <c r="CY159" i="2"/>
  <c r="CW159" i="2"/>
  <c r="CZ159" i="2" s="1"/>
  <c r="CY143" i="2"/>
  <c r="CW143" i="2"/>
  <c r="CZ143" i="2" s="1"/>
  <c r="CW133" i="2"/>
  <c r="CZ133" i="2" s="1"/>
  <c r="CY133" i="2"/>
  <c r="CY158" i="2"/>
  <c r="CW158" i="2"/>
  <c r="CZ158" i="2" s="1"/>
  <c r="CW155" i="2"/>
  <c r="CZ155" i="2" s="1"/>
  <c r="CY155" i="2"/>
  <c r="CW157" i="2"/>
  <c r="CZ157" i="2" s="1"/>
  <c r="CY157" i="2"/>
  <c r="CW154" i="2"/>
  <c r="CZ154" i="2" s="1"/>
  <c r="CY154" i="2"/>
  <c r="CY151" i="2"/>
  <c r="CW151" i="2"/>
  <c r="CZ151" i="2" s="1"/>
  <c r="CY137" i="2"/>
  <c r="CW137" i="2"/>
  <c r="CZ137" i="2" s="1"/>
  <c r="CW153" i="2"/>
  <c r="CZ153" i="2" s="1"/>
  <c r="CY153" i="2"/>
  <c r="CY144" i="2"/>
  <c r="CW144" i="2"/>
  <c r="CZ144" i="2" s="1"/>
  <c r="CW138" i="2"/>
  <c r="CZ138" i="2" s="1"/>
  <c r="CY138" i="2"/>
  <c r="CY139" i="2"/>
  <c r="CW139" i="2"/>
  <c r="CZ139" i="2" s="1"/>
  <c r="CW150" i="2"/>
  <c r="CZ150" i="2" s="1"/>
  <c r="CY150" i="2"/>
  <c r="CY140" i="2"/>
  <c r="CW140" i="2"/>
  <c r="CZ140" i="2" s="1"/>
  <c r="CY42" i="2"/>
  <c r="CY146" i="2"/>
  <c r="CW146" i="2"/>
  <c r="CZ146" i="2" s="1"/>
  <c r="CY134" i="2"/>
  <c r="CW134" i="2"/>
  <c r="CZ134" i="2" s="1"/>
  <c r="CW135" i="2"/>
  <c r="CZ135" i="2" s="1"/>
  <c r="CY135" i="2"/>
  <c r="CW152" i="2"/>
  <c r="CZ152" i="2" s="1"/>
  <c r="CY152" i="2"/>
  <c r="CW149" i="2"/>
  <c r="CZ149" i="2" s="1"/>
  <c r="CY149" i="2"/>
  <c r="BC126" i="2"/>
  <c r="BD126" i="2" s="1"/>
  <c r="BC116" i="2"/>
  <c r="BD116" i="2" s="1"/>
  <c r="BC130" i="2"/>
  <c r="BD130" i="2" s="1"/>
  <c r="BC110" i="2"/>
  <c r="BD110" i="2" s="1"/>
  <c r="BC115" i="2"/>
  <c r="BD115" i="2" s="1"/>
  <c r="BC123" i="2"/>
  <c r="BD123" i="2" s="1"/>
  <c r="BC111" i="2"/>
  <c r="BD111" i="2" s="1"/>
  <c r="BC128" i="2"/>
  <c r="BD128" i="2" s="1"/>
  <c r="BC41" i="2"/>
  <c r="BD41" i="2" s="1"/>
  <c r="BC127" i="2"/>
  <c r="BD127" i="2" s="1"/>
  <c r="BC129" i="2"/>
  <c r="BD129" i="2" s="1"/>
  <c r="BC121" i="2"/>
  <c r="BD121" i="2" s="1"/>
  <c r="BC117" i="2"/>
  <c r="BD117" i="2" s="1"/>
  <c r="BC109" i="2"/>
  <c r="BD109" i="2" s="1"/>
  <c r="BC114" i="2"/>
  <c r="BD114" i="2" s="1"/>
  <c r="BC122" i="2"/>
  <c r="BD122" i="2" s="1"/>
  <c r="BC97" i="2"/>
  <c r="BD97" i="2" s="1"/>
  <c r="BC125" i="2"/>
  <c r="BD125" i="2" s="1"/>
  <c r="BC119" i="2"/>
  <c r="BD119" i="2" s="1"/>
  <c r="BC113" i="2"/>
  <c r="BD113" i="2" s="1"/>
  <c r="BC108" i="2"/>
  <c r="BD108" i="2" s="1"/>
  <c r="BC131" i="2"/>
  <c r="BD131" i="2" s="1"/>
  <c r="BC120" i="2"/>
  <c r="BD120" i="2" s="1"/>
  <c r="BC107" i="2"/>
  <c r="BD107" i="2" s="1"/>
  <c r="BC132" i="2"/>
  <c r="BD132" i="2" s="1"/>
  <c r="BC124" i="2"/>
  <c r="BD124" i="2" s="1"/>
  <c r="BC112" i="2"/>
  <c r="BD112" i="2" s="1"/>
  <c r="BC118" i="2"/>
  <c r="BD118" i="2" s="1"/>
  <c r="BC77" i="2"/>
  <c r="BD77" i="2" s="1"/>
  <c r="BC39" i="2"/>
  <c r="BD39" i="2" s="1"/>
  <c r="BC105" i="2"/>
  <c r="BD105" i="2" s="1"/>
  <c r="BC81" i="2"/>
  <c r="BD81" i="2" s="1"/>
  <c r="BC61" i="2"/>
  <c r="BD61" i="2" s="1"/>
  <c r="BC93" i="2"/>
  <c r="BD93" i="2" s="1"/>
  <c r="BC48" i="2"/>
  <c r="BD48" i="2" s="1"/>
  <c r="BC83" i="2"/>
  <c r="BD83" i="2" s="1"/>
  <c r="BC59" i="2"/>
  <c r="BD59" i="2" s="1"/>
  <c r="BC53" i="2"/>
  <c r="BD53" i="2" s="1"/>
  <c r="BC40" i="2"/>
  <c r="BD40" i="2" s="1"/>
  <c r="BC57" i="2"/>
  <c r="BD57" i="2" s="1"/>
  <c r="BC69" i="2"/>
  <c r="BD69" i="2" s="1"/>
  <c r="BC85" i="2"/>
  <c r="BD85" i="2" s="1"/>
  <c r="BC37" i="2"/>
  <c r="BD37" i="2" s="1"/>
  <c r="BC86" i="2"/>
  <c r="BD86" i="2" s="1"/>
  <c r="BC36" i="2"/>
  <c r="BD36" i="2" s="1"/>
  <c r="BC62" i="2"/>
  <c r="BD62" i="2" s="1"/>
  <c r="BC73" i="2"/>
  <c r="BD73" i="2" s="1"/>
  <c r="BC42" i="2"/>
  <c r="BD42" i="2" s="1"/>
  <c r="BC54" i="2"/>
  <c r="BD54" i="2" s="1"/>
  <c r="BC96" i="2"/>
  <c r="BD96" i="2" s="1"/>
  <c r="BC49" i="2"/>
  <c r="BD49" i="2" s="1"/>
  <c r="BC32" i="2"/>
  <c r="BD32" i="2" s="1"/>
  <c r="BC101" i="2"/>
  <c r="BD101" i="2" s="1"/>
  <c r="BC65" i="2"/>
  <c r="BD65" i="2" s="1"/>
  <c r="BC89" i="2"/>
  <c r="BD89" i="2" s="1"/>
  <c r="BC99" i="2"/>
  <c r="BD99" i="2" s="1"/>
  <c r="BC87" i="2"/>
  <c r="BD87" i="2" s="1"/>
  <c r="BC63" i="2"/>
  <c r="BD63" i="2" s="1"/>
  <c r="BC46" i="2"/>
  <c r="BD46" i="2" s="1"/>
  <c r="BC29" i="2"/>
  <c r="BD29" i="2" s="1"/>
  <c r="BC67" i="2"/>
  <c r="BD67" i="2" s="1"/>
  <c r="BC103" i="2"/>
  <c r="BD103" i="2" s="1"/>
  <c r="BC91" i="2"/>
  <c r="BD91" i="2" s="1"/>
  <c r="BC79" i="2"/>
  <c r="BD79" i="2" s="1"/>
  <c r="BC34" i="2"/>
  <c r="BD34" i="2" s="1"/>
  <c r="BC50" i="2"/>
  <c r="BD50" i="2" s="1"/>
  <c r="BC95" i="2"/>
  <c r="BD95" i="2" s="1"/>
  <c r="BC75" i="2"/>
  <c r="BD75" i="2" s="1"/>
  <c r="BC71" i="2"/>
  <c r="BD71" i="2" s="1"/>
  <c r="BC47" i="2"/>
  <c r="BD47" i="2" s="1"/>
  <c r="BC104" i="2"/>
  <c r="BD104" i="2" s="1"/>
  <c r="BC106" i="2"/>
  <c r="BD106" i="2" s="1"/>
  <c r="BC102" i="2"/>
  <c r="BD102" i="2" s="1"/>
  <c r="BC52" i="2"/>
  <c r="BD52" i="2" s="1"/>
  <c r="BC92" i="2"/>
  <c r="BD92" i="2" s="1"/>
  <c r="BC58" i="2"/>
  <c r="BD58" i="2" s="1"/>
  <c r="BC84" i="2"/>
  <c r="BD84" i="2" s="1"/>
  <c r="BC100" i="2"/>
  <c r="BD100" i="2" s="1"/>
  <c r="BC94" i="2"/>
  <c r="BD94" i="2" s="1"/>
  <c r="BC88" i="2"/>
  <c r="BD88" i="2" s="1"/>
  <c r="BC90" i="2"/>
  <c r="BD90" i="2" s="1"/>
  <c r="BC98" i="2"/>
  <c r="BD98" i="2" s="1"/>
  <c r="BC74" i="2"/>
  <c r="BD74" i="2" s="1"/>
  <c r="BC66" i="2"/>
  <c r="BD66" i="2" s="1"/>
  <c r="BC70" i="2"/>
  <c r="BD70" i="2" s="1"/>
  <c r="BC82" i="2"/>
  <c r="BD82" i="2" s="1"/>
  <c r="BC72" i="2"/>
  <c r="BD72" i="2" s="1"/>
  <c r="BC60" i="2"/>
  <c r="BD60" i="2" s="1"/>
  <c r="BC55" i="2"/>
  <c r="BD55" i="2" s="1"/>
  <c r="BC43" i="2"/>
  <c r="BD43" i="2" s="1"/>
  <c r="BC64" i="2"/>
  <c r="BD64" i="2" s="1"/>
  <c r="BC51" i="2"/>
  <c r="BD51" i="2" s="1"/>
  <c r="BC45" i="2"/>
  <c r="BD45" i="2" s="1"/>
  <c r="BC78" i="2"/>
  <c r="BD78" i="2" s="1"/>
  <c r="BC38" i="2"/>
  <c r="BD38" i="2" s="1"/>
  <c r="BC33" i="2"/>
  <c r="BD33" i="2" s="1"/>
  <c r="BC76" i="2"/>
  <c r="BD76" i="2" s="1"/>
  <c r="BC35" i="2"/>
  <c r="BD35" i="2" s="1"/>
  <c r="BC80" i="2"/>
  <c r="BD80" i="2" s="1"/>
  <c r="BC30" i="2"/>
  <c r="BD30" i="2" s="1"/>
  <c r="BC68" i="2"/>
  <c r="BD68" i="2" s="1"/>
  <c r="BC56" i="2"/>
  <c r="BD56" i="2" s="1"/>
  <c r="BC44" i="2"/>
  <c r="BD44" i="2" s="1"/>
  <c r="AE11" i="2"/>
  <c r="Z4" i="1" s="1"/>
  <c r="BC31" i="2"/>
  <c r="BD31" i="2" s="1"/>
  <c r="BC28" i="2"/>
  <c r="BD28" i="2" s="1"/>
  <c r="D8" i="3"/>
  <c r="D16" i="3"/>
  <c r="D24" i="3"/>
  <c r="D32" i="3"/>
  <c r="D40" i="3"/>
  <c r="D48" i="3"/>
  <c r="D56" i="3"/>
  <c r="D64" i="3"/>
  <c r="D72" i="3"/>
  <c r="D80" i="3"/>
  <c r="D88" i="3"/>
  <c r="D96" i="3"/>
  <c r="D104" i="3"/>
  <c r="D112" i="3"/>
  <c r="D17" i="3"/>
  <c r="D25" i="3"/>
  <c r="D33" i="3"/>
  <c r="D41" i="3"/>
  <c r="D49" i="3"/>
  <c r="D57" i="3"/>
  <c r="D65" i="3"/>
  <c r="D73" i="3"/>
  <c r="D81" i="3"/>
  <c r="D89" i="3"/>
  <c r="D97" i="3"/>
  <c r="D105" i="3"/>
  <c r="D113" i="3"/>
  <c r="D18" i="3"/>
  <c r="D26" i="3"/>
  <c r="D34" i="3"/>
  <c r="D42" i="3"/>
  <c r="D50" i="3"/>
  <c r="D58" i="3"/>
  <c r="D66" i="3"/>
  <c r="D74" i="3"/>
  <c r="D82" i="3"/>
  <c r="D90" i="3"/>
  <c r="D98" i="3"/>
  <c r="D106" i="3"/>
  <c r="D114" i="3"/>
  <c r="D11" i="3"/>
  <c r="D19" i="3"/>
  <c r="D27" i="3"/>
  <c r="D35" i="3"/>
  <c r="D43" i="3"/>
  <c r="D51" i="3"/>
  <c r="D59" i="3"/>
  <c r="D67" i="3"/>
  <c r="D75" i="3"/>
  <c r="D83" i="3"/>
  <c r="D91" i="3"/>
  <c r="D99" i="3"/>
  <c r="D107" i="3"/>
  <c r="D6" i="3"/>
  <c r="D12" i="3"/>
  <c r="D20" i="3"/>
  <c r="D28" i="3"/>
  <c r="D36" i="3"/>
  <c r="D44" i="3"/>
  <c r="D52" i="3"/>
  <c r="D60" i="3"/>
  <c r="D68" i="3"/>
  <c r="D76" i="3"/>
  <c r="D84" i="3"/>
  <c r="D92" i="3"/>
  <c r="D108" i="3"/>
  <c r="D5" i="3"/>
  <c r="D14" i="3"/>
  <c r="D30" i="3"/>
  <c r="D46" i="3"/>
  <c r="D62" i="3"/>
  <c r="D78" i="3"/>
  <c r="D94" i="3"/>
  <c r="D110" i="3"/>
  <c r="D15" i="3"/>
  <c r="D23" i="3"/>
  <c r="D39" i="3"/>
  <c r="D55" i="3"/>
  <c r="D71" i="3"/>
  <c r="D95" i="3"/>
  <c r="D9" i="3"/>
  <c r="D10" i="3"/>
  <c r="D100" i="3"/>
  <c r="D22" i="3"/>
  <c r="D38" i="3"/>
  <c r="D54" i="3"/>
  <c r="D70" i="3"/>
  <c r="D86" i="3"/>
  <c r="D102" i="3"/>
  <c r="D7" i="3"/>
  <c r="D31" i="3"/>
  <c r="D47" i="3"/>
  <c r="D63" i="3"/>
  <c r="D87" i="3"/>
  <c r="D103" i="3"/>
  <c r="D13" i="3"/>
  <c r="D21" i="3"/>
  <c r="D29" i="3"/>
  <c r="D37" i="3"/>
  <c r="D45" i="3"/>
  <c r="D53" i="3"/>
  <c r="D61" i="3"/>
  <c r="D69" i="3"/>
  <c r="D77" i="3"/>
  <c r="D85" i="3"/>
  <c r="D93" i="3"/>
  <c r="D101" i="3"/>
  <c r="D109" i="3"/>
  <c r="D79" i="3"/>
  <c r="D111" i="3"/>
  <c r="CZ163" i="2" l="1"/>
  <c r="CZ165" i="2" s="1"/>
  <c r="U173" i="4"/>
  <c r="V173" i="4" s="1"/>
  <c r="U122" i="4"/>
  <c r="V122" i="4" s="1"/>
  <c r="U219" i="4"/>
  <c r="V219" i="4" s="1"/>
  <c r="H15" i="2"/>
  <c r="W9" i="1" s="1"/>
  <c r="U131" i="4"/>
  <c r="V131" i="4" s="1"/>
  <c r="U163" i="4"/>
  <c r="V163" i="4" s="1"/>
  <c r="S122" i="4"/>
  <c r="U132" i="4"/>
  <c r="V132" i="4" s="1"/>
  <c r="U177" i="4"/>
  <c r="V177" i="4" s="1"/>
  <c r="T9" i="1"/>
  <c r="H14" i="2"/>
  <c r="W8" i="1" s="1"/>
  <c r="H13" i="2"/>
  <c r="W7" i="1" s="1"/>
  <c r="H12" i="2"/>
  <c r="W6" i="1" s="1"/>
  <c r="U192" i="4"/>
  <c r="V192" i="4" s="1"/>
  <c r="U141" i="4"/>
  <c r="V141" i="4" s="1"/>
  <c r="W136" i="4"/>
  <c r="X136" i="4" s="1"/>
  <c r="S136" i="4"/>
  <c r="T192" i="4"/>
  <c r="W192" i="4"/>
  <c r="X192" i="4" s="1"/>
  <c r="W152" i="4"/>
  <c r="X152" i="4" s="1"/>
  <c r="W173" i="4"/>
  <c r="X173" i="4" s="1"/>
  <c r="U183" i="4"/>
  <c r="V183" i="4" s="1"/>
  <c r="S152" i="4"/>
  <c r="U152" i="4"/>
  <c r="V152" i="4" s="1"/>
  <c r="U159" i="4"/>
  <c r="V159" i="4" s="1"/>
  <c r="U182" i="4"/>
  <c r="V182" i="4" s="1"/>
  <c r="U204" i="4"/>
  <c r="V204" i="4" s="1"/>
  <c r="U198" i="4"/>
  <c r="V198" i="4" s="1"/>
  <c r="U199" i="4"/>
  <c r="V199" i="4" s="1"/>
  <c r="U127" i="4"/>
  <c r="V127" i="4" s="1"/>
  <c r="U144" i="4"/>
  <c r="V144" i="4" s="1"/>
  <c r="U146" i="4"/>
  <c r="V146" i="4" s="1"/>
  <c r="U220" i="4"/>
  <c r="V220" i="4" s="1"/>
  <c r="U175" i="4"/>
  <c r="V175" i="4" s="1"/>
  <c r="U174" i="4"/>
  <c r="V174" i="4" s="1"/>
  <c r="U185" i="4"/>
  <c r="V185" i="4" s="1"/>
  <c r="U164" i="4"/>
  <c r="V164" i="4" s="1"/>
  <c r="U224" i="4"/>
  <c r="V224" i="4" s="1"/>
  <c r="U155" i="4"/>
  <c r="V155" i="4" s="1"/>
  <c r="U179" i="4"/>
  <c r="V179" i="4" s="1"/>
  <c r="U147" i="4"/>
  <c r="V147" i="4" s="1"/>
  <c r="U171" i="4"/>
  <c r="V171" i="4" s="1"/>
  <c r="U166" i="4"/>
  <c r="V166" i="4" s="1"/>
  <c r="W132" i="4"/>
  <c r="X132" i="4" s="1"/>
  <c r="U217" i="4"/>
  <c r="V217" i="4" s="1"/>
  <c r="U202" i="4"/>
  <c r="V202" i="4" s="1"/>
  <c r="U201" i="4"/>
  <c r="V201" i="4" s="1"/>
  <c r="U218" i="4"/>
  <c r="V218" i="4" s="1"/>
  <c r="U172" i="4"/>
  <c r="V172" i="4" s="1"/>
  <c r="U151" i="4"/>
  <c r="V151" i="4" s="1"/>
  <c r="U128" i="4"/>
  <c r="V128" i="4" s="1"/>
  <c r="U208" i="4"/>
  <c r="V208" i="4" s="1"/>
  <c r="U214" i="4"/>
  <c r="V214" i="4" s="1"/>
  <c r="U206" i="4"/>
  <c r="V206" i="4" s="1"/>
  <c r="U125" i="4"/>
  <c r="V125" i="4" s="1"/>
  <c r="U184" i="4"/>
  <c r="V184" i="4" s="1"/>
  <c r="W185" i="4"/>
  <c r="X185" i="4" s="1"/>
  <c r="U180" i="4"/>
  <c r="V180" i="4" s="1"/>
  <c r="U160" i="4"/>
  <c r="V160" i="4" s="1"/>
  <c r="U157" i="4"/>
  <c r="V157" i="4" s="1"/>
  <c r="U133" i="4"/>
  <c r="V133" i="4" s="1"/>
  <c r="U134" i="4"/>
  <c r="V134" i="4" s="1"/>
  <c r="U156" i="4"/>
  <c r="V156" i="4" s="1"/>
  <c r="U176" i="4"/>
  <c r="V176" i="4" s="1"/>
  <c r="U195" i="4"/>
  <c r="V195" i="4" s="1"/>
  <c r="U213" i="4"/>
  <c r="V213" i="4" s="1"/>
  <c r="U203" i="4"/>
  <c r="V203" i="4" s="1"/>
  <c r="U162" i="4"/>
  <c r="V162" i="4" s="1"/>
  <c r="U216" i="4"/>
  <c r="V216" i="4" s="1"/>
  <c r="W198" i="4"/>
  <c r="X198" i="4" s="1"/>
  <c r="W199" i="4"/>
  <c r="X199" i="4" s="1"/>
  <c r="W125" i="4"/>
  <c r="X125" i="4" s="1"/>
  <c r="U170" i="4"/>
  <c r="V170" i="4" s="1"/>
  <c r="U221" i="4"/>
  <c r="V221" i="4" s="1"/>
  <c r="U136" i="4"/>
  <c r="V136" i="4" s="1"/>
  <c r="W157" i="4"/>
  <c r="X157" i="4" s="1"/>
  <c r="U210" i="4"/>
  <c r="V210" i="4" s="1"/>
  <c r="U215" i="4"/>
  <c r="V215" i="4" s="1"/>
  <c r="U187" i="4"/>
  <c r="V187" i="4" s="1"/>
  <c r="U205" i="4"/>
  <c r="V205" i="4" s="1"/>
  <c r="U150" i="4"/>
  <c r="V150" i="4" s="1"/>
  <c r="W159" i="4"/>
  <c r="X159" i="4" s="1"/>
  <c r="W220" i="4"/>
  <c r="X220" i="4" s="1"/>
  <c r="U223" i="4"/>
  <c r="V223" i="4" s="1"/>
  <c r="U207" i="4"/>
  <c r="V207" i="4" s="1"/>
  <c r="U191" i="4"/>
  <c r="V191" i="4" s="1"/>
  <c r="U139" i="4"/>
  <c r="V139" i="4" s="1"/>
  <c r="U181" i="4"/>
  <c r="V181" i="4" s="1"/>
  <c r="U178" i="4"/>
  <c r="V178" i="4" s="1"/>
  <c r="W141" i="4"/>
  <c r="X141" i="4" s="1"/>
  <c r="U130" i="4"/>
  <c r="V130" i="4" s="1"/>
  <c r="W180" i="4"/>
  <c r="X180" i="4" s="1"/>
  <c r="S142" i="4"/>
  <c r="T142" i="4"/>
  <c r="T143" i="4"/>
  <c r="S143" i="4"/>
  <c r="T161" i="4"/>
  <c r="S161" i="4"/>
  <c r="S212" i="4"/>
  <c r="T212" i="4"/>
  <c r="T149" i="4"/>
  <c r="S149" i="4"/>
  <c r="S124" i="4"/>
  <c r="T124" i="4"/>
  <c r="U161" i="4"/>
  <c r="V161" i="4" s="1"/>
  <c r="S208" i="4"/>
  <c r="T208" i="4"/>
  <c r="T138" i="4"/>
  <c r="S138" i="4"/>
  <c r="T167" i="4"/>
  <c r="S167" i="4"/>
  <c r="S147" i="4"/>
  <c r="T147" i="4"/>
  <c r="T211" i="4"/>
  <c r="S211" i="4"/>
  <c r="W166" i="4"/>
  <c r="X166" i="4" s="1"/>
  <c r="S166" i="4"/>
  <c r="T166" i="4"/>
  <c r="T194" i="4"/>
  <c r="S194" i="4"/>
  <c r="W142" i="4"/>
  <c r="X142" i="4" s="1"/>
  <c r="S174" i="4"/>
  <c r="T174" i="4"/>
  <c r="W143" i="4"/>
  <c r="X143" i="4" s="1"/>
  <c r="W161" i="4"/>
  <c r="X161" i="4" s="1"/>
  <c r="W177" i="4"/>
  <c r="X177" i="4" s="1"/>
  <c r="W209" i="4"/>
  <c r="X209" i="4" s="1"/>
  <c r="S209" i="4"/>
  <c r="T209" i="4"/>
  <c r="S199" i="4"/>
  <c r="T199" i="4"/>
  <c r="S218" i="4"/>
  <c r="T218" i="4"/>
  <c r="T189" i="4"/>
  <c r="S189" i="4"/>
  <c r="W121" i="4"/>
  <c r="X121" i="4" s="1"/>
  <c r="S121" i="4"/>
  <c r="T121" i="4"/>
  <c r="W156" i="4"/>
  <c r="X156" i="4" s="1"/>
  <c r="W212" i="4"/>
  <c r="X212" i="4" s="1"/>
  <c r="W151" i="4"/>
  <c r="X151" i="4" s="1"/>
  <c r="W223" i="4"/>
  <c r="X223" i="4" s="1"/>
  <c r="T200" i="4"/>
  <c r="S200" i="4"/>
  <c r="W207" i="4"/>
  <c r="X207" i="4" s="1"/>
  <c r="W149" i="4"/>
  <c r="X149" i="4" s="1"/>
  <c r="U194" i="4"/>
  <c r="V194" i="4" s="1"/>
  <c r="S158" i="4"/>
  <c r="T158" i="4"/>
  <c r="S145" i="4"/>
  <c r="T145" i="4"/>
  <c r="T156" i="4"/>
  <c r="S156" i="4"/>
  <c r="W196" i="4"/>
  <c r="X196" i="4" s="1"/>
  <c r="S196" i="4"/>
  <c r="T196" i="4"/>
  <c r="S186" i="4"/>
  <c r="T186" i="4"/>
  <c r="O120" i="4"/>
  <c r="P120" i="4" s="1"/>
  <c r="R120" i="4" s="1"/>
  <c r="W120" i="4" s="1"/>
  <c r="X120" i="4" s="1"/>
  <c r="T135" i="4"/>
  <c r="S135" i="4"/>
  <c r="T140" i="4"/>
  <c r="S140" i="4"/>
  <c r="S168" i="4"/>
  <c r="T168" i="4"/>
  <c r="W182" i="4"/>
  <c r="X182" i="4" s="1"/>
  <c r="S182" i="4"/>
  <c r="T182" i="4"/>
  <c r="S205" i="4"/>
  <c r="T205" i="4"/>
  <c r="U145" i="4"/>
  <c r="V145" i="4" s="1"/>
  <c r="S131" i="4"/>
  <c r="T131" i="4"/>
  <c r="T195" i="4"/>
  <c r="S195" i="4"/>
  <c r="S217" i="4"/>
  <c r="T217" i="4"/>
  <c r="S176" i="4"/>
  <c r="T176" i="4"/>
  <c r="U140" i="4"/>
  <c r="V140" i="4" s="1"/>
  <c r="S150" i="4"/>
  <c r="T150" i="4"/>
  <c r="S222" i="4"/>
  <c r="T222" i="4"/>
  <c r="T154" i="4"/>
  <c r="S154" i="4"/>
  <c r="T165" i="4"/>
  <c r="S165" i="4"/>
  <c r="S213" i="4"/>
  <c r="T213" i="4"/>
  <c r="O123" i="4"/>
  <c r="P123" i="4" s="1"/>
  <c r="R123" i="4" s="1"/>
  <c r="W123" i="4" s="1"/>
  <c r="X123" i="4" s="1"/>
  <c r="S137" i="4"/>
  <c r="T137" i="4"/>
  <c r="T153" i="4"/>
  <c r="S153" i="4"/>
  <c r="S169" i="4"/>
  <c r="T169" i="4"/>
  <c r="S185" i="4"/>
  <c r="T185" i="4"/>
  <c r="S201" i="4"/>
  <c r="T201" i="4"/>
  <c r="U143" i="4"/>
  <c r="V143" i="4" s="1"/>
  <c r="W148" i="4"/>
  <c r="X148" i="4" s="1"/>
  <c r="S148" i="4"/>
  <c r="T148" i="4"/>
  <c r="U169" i="4"/>
  <c r="V169" i="4" s="1"/>
  <c r="T204" i="4"/>
  <c r="S204" i="4"/>
  <c r="S220" i="4"/>
  <c r="T220" i="4"/>
  <c r="T210" i="4"/>
  <c r="S210" i="4"/>
  <c r="U168" i="4"/>
  <c r="V168" i="4" s="1"/>
  <c r="U200" i="4"/>
  <c r="V200" i="4" s="1"/>
  <c r="S175" i="4"/>
  <c r="T175" i="4"/>
  <c r="U135" i="4"/>
  <c r="V135" i="4" s="1"/>
  <c r="S173" i="4"/>
  <c r="T173" i="4"/>
  <c r="T160" i="4"/>
  <c r="S160" i="4"/>
  <c r="U189" i="4"/>
  <c r="V189" i="4" s="1"/>
  <c r="S216" i="4"/>
  <c r="T216" i="4"/>
  <c r="T126" i="4"/>
  <c r="S126" i="4"/>
  <c r="T197" i="4"/>
  <c r="S197" i="4"/>
  <c r="K120" i="4"/>
  <c r="S177" i="4"/>
  <c r="T177" i="4"/>
  <c r="S151" i="4"/>
  <c r="T151" i="4"/>
  <c r="S162" i="4"/>
  <c r="T162" i="4"/>
  <c r="T215" i="4"/>
  <c r="S215" i="4"/>
  <c r="T141" i="4"/>
  <c r="S141" i="4"/>
  <c r="T180" i="4"/>
  <c r="S180" i="4"/>
  <c r="S179" i="4"/>
  <c r="T179" i="4"/>
  <c r="T157" i="4"/>
  <c r="S157" i="4"/>
  <c r="U149" i="4"/>
  <c r="V149" i="4" s="1"/>
  <c r="T130" i="4"/>
  <c r="S130" i="4"/>
  <c r="U138" i="4"/>
  <c r="V138" i="4" s="1"/>
  <c r="W164" i="4"/>
  <c r="X164" i="4" s="1"/>
  <c r="S164" i="4"/>
  <c r="T164" i="4"/>
  <c r="S134" i="4"/>
  <c r="T134" i="4"/>
  <c r="W206" i="4"/>
  <c r="X206" i="4" s="1"/>
  <c r="T206" i="4"/>
  <c r="S206" i="4"/>
  <c r="U126" i="4"/>
  <c r="V126" i="4" s="1"/>
  <c r="U222" i="4"/>
  <c r="V222" i="4" s="1"/>
  <c r="S183" i="4"/>
  <c r="T183" i="4"/>
  <c r="S202" i="4"/>
  <c r="T202" i="4"/>
  <c r="T132" i="4"/>
  <c r="S132" i="4"/>
  <c r="U153" i="4"/>
  <c r="V153" i="4" s="1"/>
  <c r="W188" i="4"/>
  <c r="X188" i="4" s="1"/>
  <c r="S188" i="4"/>
  <c r="T188" i="4"/>
  <c r="U209" i="4"/>
  <c r="V209" i="4" s="1"/>
  <c r="U212" i="4"/>
  <c r="V212" i="4" s="1"/>
  <c r="T122" i="4"/>
  <c r="T144" i="4"/>
  <c r="S144" i="4"/>
  <c r="S184" i="4"/>
  <c r="T184" i="4"/>
  <c r="U148" i="4"/>
  <c r="V148" i="4" s="1"/>
  <c r="U188" i="4"/>
  <c r="V188" i="4" s="1"/>
  <c r="U186" i="4"/>
  <c r="V186" i="4" s="1"/>
  <c r="U197" i="4"/>
  <c r="V197" i="4" s="1"/>
  <c r="W214" i="4"/>
  <c r="X214" i="4" s="1"/>
  <c r="T214" i="4"/>
  <c r="S214" i="4"/>
  <c r="S129" i="4"/>
  <c r="T129" i="4"/>
  <c r="T193" i="4"/>
  <c r="S193" i="4"/>
  <c r="T223" i="4"/>
  <c r="S223" i="4"/>
  <c r="S207" i="4"/>
  <c r="T207" i="4"/>
  <c r="S128" i="4"/>
  <c r="T128" i="4"/>
  <c r="S125" i="4"/>
  <c r="T125" i="4"/>
  <c r="T198" i="4"/>
  <c r="S198" i="4"/>
  <c r="U129" i="4"/>
  <c r="V129" i="4" s="1"/>
  <c r="S163" i="4"/>
  <c r="T163" i="4"/>
  <c r="S178" i="4"/>
  <c r="T178" i="4"/>
  <c r="K123" i="4"/>
  <c r="U123" i="4" s="1"/>
  <c r="V123" i="4" s="1"/>
  <c r="T159" i="4"/>
  <c r="S159" i="4"/>
  <c r="U196" i="4"/>
  <c r="V196" i="4" s="1"/>
  <c r="T190" i="4"/>
  <c r="S190" i="4"/>
  <c r="U211" i="4"/>
  <c r="V211" i="4" s="1"/>
  <c r="S127" i="4"/>
  <c r="T127" i="4"/>
  <c r="T191" i="4"/>
  <c r="S191" i="4"/>
  <c r="T170" i="4"/>
  <c r="S170" i="4"/>
  <c r="S181" i="4"/>
  <c r="T181" i="4"/>
  <c r="U142" i="4"/>
  <c r="V142" i="4" s="1"/>
  <c r="U158" i="4"/>
  <c r="V158" i="4" s="1"/>
  <c r="U190" i="4"/>
  <c r="V190" i="4" s="1"/>
  <c r="U167" i="4"/>
  <c r="V167" i="4" s="1"/>
  <c r="U154" i="4"/>
  <c r="V154" i="4" s="1"/>
  <c r="U137" i="4"/>
  <c r="V137" i="4" s="1"/>
  <c r="W172" i="4"/>
  <c r="X172" i="4" s="1"/>
  <c r="T172" i="4"/>
  <c r="S172" i="4"/>
  <c r="U193" i="4"/>
  <c r="V193" i="4" s="1"/>
  <c r="U124" i="4"/>
  <c r="V124" i="4" s="1"/>
  <c r="S139" i="4"/>
  <c r="T139" i="4"/>
  <c r="S155" i="4"/>
  <c r="T155" i="4"/>
  <c r="S171" i="4"/>
  <c r="T171" i="4"/>
  <c r="S187" i="4"/>
  <c r="T187" i="4"/>
  <c r="S203" i="4"/>
  <c r="T203" i="4"/>
  <c r="S219" i="4"/>
  <c r="T219" i="4"/>
  <c r="S146" i="4"/>
  <c r="T146" i="4"/>
  <c r="T133" i="4"/>
  <c r="S133" i="4"/>
  <c r="S221" i="4"/>
  <c r="T221" i="4"/>
  <c r="U165" i="4"/>
  <c r="V165" i="4" s="1"/>
  <c r="S224" i="4"/>
  <c r="T224" i="4"/>
  <c r="E14" i="2"/>
  <c r="U9" i="1" s="1"/>
  <c r="T11" i="1"/>
  <c r="E13" i="2"/>
  <c r="U8" i="1" s="1"/>
  <c r="T8" i="1"/>
  <c r="E15" i="2"/>
  <c r="U10" i="1" s="1"/>
  <c r="T10" i="1"/>
  <c r="AL4" i="1"/>
  <c r="U120" i="4" l="1"/>
  <c r="V120" i="4" s="1"/>
  <c r="S120" i="4"/>
  <c r="T120" i="4"/>
  <c r="S123" i="4"/>
  <c r="T123" i="4"/>
  <c r="U37" i="5"/>
  <c r="U40" i="5" s="1"/>
  <c r="U42" i="5" s="1"/>
  <c r="U46" i="5" s="1"/>
  <c r="U48" i="5" s="1"/>
  <c r="G121" i="4" l="1"/>
  <c r="AA121" i="4" s="1"/>
  <c r="Z132" i="1"/>
  <c r="N62" i="5"/>
  <c r="N63" i="5" s="1"/>
  <c r="AA62" i="5"/>
  <c r="AA63" i="5" s="1"/>
  <c r="AN62" i="5"/>
  <c r="AN63" i="5" s="1"/>
  <c r="BB62" i="5"/>
  <c r="BB63" i="5" s="1"/>
  <c r="G122" i="4" l="1"/>
  <c r="G123" i="4" s="1"/>
  <c r="N78" i="5"/>
  <c r="AA78" i="5" s="1"/>
  <c r="AN78" i="5" s="1"/>
  <c r="BB78" i="5" s="1"/>
  <c r="N82" i="5"/>
  <c r="AA82" i="5" s="1"/>
  <c r="AN82" i="5" s="1"/>
  <c r="BB82" i="5" s="1"/>
  <c r="N85" i="5"/>
  <c r="AA85" i="5" s="1"/>
  <c r="AN85" i="5" s="1"/>
  <c r="BB85" i="5" s="1"/>
  <c r="N72" i="5"/>
  <c r="AA72" i="5" s="1"/>
  <c r="AN72" i="5" s="1"/>
  <c r="BB72" i="5" s="1"/>
  <c r="N79" i="5"/>
  <c r="AA79" i="5" s="1"/>
  <c r="AN79" i="5" s="1"/>
  <c r="BB79" i="5" s="1"/>
  <c r="N71" i="5"/>
  <c r="AA71" i="5" s="1"/>
  <c r="AN71" i="5" s="1"/>
  <c r="BB71" i="5" s="1"/>
  <c r="N77" i="5"/>
  <c r="AA77" i="5" s="1"/>
  <c r="AN77" i="5" s="1"/>
  <c r="BB77" i="5" s="1"/>
  <c r="N65" i="5"/>
  <c r="AA65" i="5" s="1"/>
  <c r="AN65" i="5" s="1"/>
  <c r="BB65" i="5" s="1"/>
  <c r="N67" i="5"/>
  <c r="AA67" i="5" s="1"/>
  <c r="AN67" i="5" s="1"/>
  <c r="BB67" i="5" s="1"/>
  <c r="N73" i="5"/>
  <c r="AA73" i="5" s="1"/>
  <c r="AN73" i="5" s="1"/>
  <c r="BB73" i="5" s="1"/>
  <c r="N68" i="5"/>
  <c r="AA68" i="5" s="1"/>
  <c r="AN68" i="5" s="1"/>
  <c r="BB68" i="5" s="1"/>
  <c r="N80" i="5"/>
  <c r="AA80" i="5" s="1"/>
  <c r="AN80" i="5" s="1"/>
  <c r="BB80" i="5" s="1"/>
  <c r="N66" i="5"/>
  <c r="AA66" i="5" s="1"/>
  <c r="AN66" i="5" s="1"/>
  <c r="BB66" i="5" s="1"/>
  <c r="N81" i="5"/>
  <c r="AA81" i="5" s="1"/>
  <c r="AN81" i="5" s="1"/>
  <c r="BB81" i="5" s="1"/>
  <c r="N84" i="5"/>
  <c r="AA84" i="5" s="1"/>
  <c r="AN84" i="5" s="1"/>
  <c r="BB84" i="5" s="1"/>
  <c r="N83" i="5"/>
  <c r="AA83" i="5" s="1"/>
  <c r="AN83" i="5" s="1"/>
  <c r="BB83" i="5" s="1"/>
  <c r="N70" i="5"/>
  <c r="AA70" i="5" s="1"/>
  <c r="AN70" i="5" s="1"/>
  <c r="BB70" i="5" s="1"/>
  <c r="N74" i="5"/>
  <c r="AA74" i="5" s="1"/>
  <c r="AN74" i="5" s="1"/>
  <c r="BB74" i="5" s="1"/>
  <c r="N76" i="5"/>
  <c r="AA76" i="5" s="1"/>
  <c r="AN76" i="5" s="1"/>
  <c r="BB76" i="5" s="1"/>
  <c r="N69" i="5"/>
  <c r="AA69" i="5" s="1"/>
  <c r="AN69" i="5" s="1"/>
  <c r="BB69" i="5" s="1"/>
  <c r="N75" i="5"/>
  <c r="AA75" i="5" s="1"/>
  <c r="AN75" i="5" s="1"/>
  <c r="BB75" i="5" s="1"/>
  <c r="AA122" i="4" l="1"/>
  <c r="G124" i="4"/>
  <c r="AA123" i="4"/>
  <c r="C62" i="4"/>
  <c r="D62" i="4" s="1"/>
  <c r="C59" i="4"/>
  <c r="D59" i="4" s="1"/>
  <c r="C50" i="4"/>
  <c r="D50" i="4" s="1"/>
  <c r="C64" i="4"/>
  <c r="D64" i="4" s="1"/>
  <c r="C41" i="4"/>
  <c r="D41" i="4" s="1"/>
  <c r="C47" i="4"/>
  <c r="D47" i="4" s="1"/>
  <c r="C42" i="4"/>
  <c r="D42" i="4" s="1"/>
  <c r="C45" i="4"/>
  <c r="D45" i="4" s="1"/>
  <c r="C54" i="4"/>
  <c r="D54" i="4" s="1"/>
  <c r="C38" i="4"/>
  <c r="D38" i="4" s="1"/>
  <c r="C35" i="4"/>
  <c r="D35" i="4" s="1"/>
  <c r="C34" i="4"/>
  <c r="C51" i="4"/>
  <c r="D51" i="4" s="1"/>
  <c r="C44" i="4"/>
  <c r="D44" i="4" s="1"/>
  <c r="C36" i="4"/>
  <c r="D36" i="4" s="1"/>
  <c r="C43" i="4"/>
  <c r="D43" i="4" s="1"/>
  <c r="C39" i="4"/>
  <c r="D39" i="4" s="1"/>
  <c r="C37" i="4"/>
  <c r="D37" i="4" s="1"/>
  <c r="C40" i="4"/>
  <c r="D40" i="4" s="1"/>
  <c r="C61" i="4"/>
  <c r="D61" i="4" s="1"/>
  <c r="C48" i="4"/>
  <c r="D48" i="4" s="1"/>
  <c r="C60" i="4"/>
  <c r="D60" i="4" s="1"/>
  <c r="C55" i="4"/>
  <c r="D55" i="4" s="1"/>
  <c r="C52" i="4"/>
  <c r="D52" i="4" s="1"/>
  <c r="C57" i="4"/>
  <c r="D57" i="4" s="1"/>
  <c r="C65" i="4"/>
  <c r="D65" i="4" s="1"/>
  <c r="C63" i="4"/>
  <c r="D63" i="4" s="1"/>
  <c r="C53" i="4"/>
  <c r="D53" i="4" s="1"/>
  <c r="C56" i="4"/>
  <c r="D56" i="4" s="1"/>
  <c r="C49" i="4"/>
  <c r="D49" i="4" s="1"/>
  <c r="C58" i="4"/>
  <c r="D58" i="4" s="1"/>
  <c r="C46" i="4"/>
  <c r="D46" i="4" s="1"/>
  <c r="G125" i="4" l="1"/>
  <c r="AA124" i="4"/>
  <c r="D34" i="4"/>
  <c r="C33" i="4"/>
  <c r="I65" i="4" s="1"/>
  <c r="V65" i="4" s="1"/>
  <c r="G126" i="4" l="1"/>
  <c r="AA125" i="4"/>
  <c r="I54" i="4"/>
  <c r="V54" i="4" s="1"/>
  <c r="I55" i="4"/>
  <c r="J55" i="4" s="1"/>
  <c r="I62" i="4"/>
  <c r="J62" i="4" s="1"/>
  <c r="I60" i="4"/>
  <c r="J60" i="4" s="1"/>
  <c r="I41" i="4"/>
  <c r="V41" i="4" s="1"/>
  <c r="I64" i="4"/>
  <c r="V64" i="4" s="1"/>
  <c r="I58" i="4"/>
  <c r="V58" i="4" s="1"/>
  <c r="I37" i="4"/>
  <c r="J37" i="4" s="1"/>
  <c r="I56" i="4"/>
  <c r="V56" i="4" s="1"/>
  <c r="I53" i="4"/>
  <c r="V53" i="4" s="1"/>
  <c r="I50" i="4"/>
  <c r="J50" i="4" s="1"/>
  <c r="I61" i="4"/>
  <c r="J61" i="4" s="1"/>
  <c r="D33" i="4"/>
  <c r="I34" i="4"/>
  <c r="I33" i="4"/>
  <c r="V33" i="4" s="1"/>
  <c r="I39" i="4"/>
  <c r="V39" i="4" s="1"/>
  <c r="I59" i="4"/>
  <c r="J59" i="4" s="1"/>
  <c r="I46" i="4"/>
  <c r="J46" i="4" s="1"/>
  <c r="I38" i="4"/>
  <c r="J38" i="4" s="1"/>
  <c r="J65" i="4"/>
  <c r="I52" i="4"/>
  <c r="I44" i="4"/>
  <c r="I57" i="4"/>
  <c r="I36" i="4"/>
  <c r="I43" i="4"/>
  <c r="I45" i="4"/>
  <c r="I49" i="4"/>
  <c r="I51" i="4"/>
  <c r="I63" i="4"/>
  <c r="I40" i="4"/>
  <c r="I48" i="4"/>
  <c r="I42" i="4"/>
  <c r="I47" i="4"/>
  <c r="I35" i="4"/>
  <c r="J54" i="4" l="1"/>
  <c r="G127" i="4"/>
  <c r="AA126" i="4"/>
  <c r="J41" i="4"/>
  <c r="V55" i="4"/>
  <c r="V62" i="4"/>
  <c r="V60" i="4"/>
  <c r="J53" i="4"/>
  <c r="J58" i="4"/>
  <c r="J64" i="4"/>
  <c r="J39" i="4"/>
  <c r="V37" i="4"/>
  <c r="V61" i="4"/>
  <c r="J56" i="4"/>
  <c r="V50" i="4"/>
  <c r="V46" i="4"/>
  <c r="V59" i="4"/>
  <c r="J33" i="4"/>
  <c r="V38" i="4"/>
  <c r="J49" i="4"/>
  <c r="V49" i="4"/>
  <c r="J52" i="4"/>
  <c r="V52" i="4"/>
  <c r="V45" i="4"/>
  <c r="J45" i="4"/>
  <c r="J51" i="4"/>
  <c r="V51" i="4"/>
  <c r="V35" i="4"/>
  <c r="J35" i="4"/>
  <c r="J43" i="4"/>
  <c r="V43" i="4"/>
  <c r="J36" i="4"/>
  <c r="V36" i="4"/>
  <c r="J48" i="4"/>
  <c r="V48" i="4"/>
  <c r="J34" i="4"/>
  <c r="V34" i="4"/>
  <c r="J47" i="4"/>
  <c r="V47" i="4"/>
  <c r="J42" i="4"/>
  <c r="V42" i="4"/>
  <c r="J40" i="4"/>
  <c r="V40" i="4"/>
  <c r="J57" i="4"/>
  <c r="V57" i="4"/>
  <c r="V63" i="4"/>
  <c r="J63" i="4"/>
  <c r="J44" i="4"/>
  <c r="V44" i="4"/>
  <c r="G128" i="4" l="1"/>
  <c r="AA127" i="4"/>
  <c r="T33" i="4"/>
  <c r="F33" i="4"/>
  <c r="G33" i="4" s="1"/>
  <c r="H33" i="4" s="1"/>
  <c r="K33" i="4" s="1"/>
  <c r="O33" i="4" s="1"/>
  <c r="G129" i="4" l="1"/>
  <c r="AA128" i="4"/>
  <c r="Q33" i="4"/>
  <c r="R33" i="4" s="1"/>
  <c r="M32" i="4"/>
  <c r="X32" i="4" s="1"/>
  <c r="P33" i="4"/>
  <c r="E34" i="4" s="1"/>
  <c r="L33" i="4"/>
  <c r="G130" i="4" l="1"/>
  <c r="AA129" i="4"/>
  <c r="T34" i="4"/>
  <c r="F34" i="4"/>
  <c r="G131" i="4" l="1"/>
  <c r="AA130" i="4"/>
  <c r="G34" i="4"/>
  <c r="H34" i="4" s="1"/>
  <c r="K34" i="4" s="1"/>
  <c r="Q34" i="4" s="1"/>
  <c r="R34" i="4" s="1"/>
  <c r="G132" i="4" l="1"/>
  <c r="AA131" i="4"/>
  <c r="L34" i="4"/>
  <c r="O34" i="4"/>
  <c r="P34" i="4" s="1"/>
  <c r="E35" i="4" s="1"/>
  <c r="M33" i="4"/>
  <c r="X33" i="4" s="1"/>
  <c r="G133" i="4" l="1"/>
  <c r="AA132" i="4"/>
  <c r="F35" i="4"/>
  <c r="T35" i="4"/>
  <c r="G134" i="4" l="1"/>
  <c r="AA133" i="4"/>
  <c r="G35" i="4"/>
  <c r="H35" i="4" s="1"/>
  <c r="K35" i="4" s="1"/>
  <c r="G135" i="4" l="1"/>
  <c r="AA134" i="4"/>
  <c r="O35" i="4"/>
  <c r="P35" i="4" s="1"/>
  <c r="E36" i="4" s="1"/>
  <c r="L35" i="4"/>
  <c r="M34" i="4"/>
  <c r="X34" i="4" s="1"/>
  <c r="Q35" i="4"/>
  <c r="R35" i="4" s="1"/>
  <c r="G136" i="4" l="1"/>
  <c r="AA135" i="4"/>
  <c r="T36" i="4"/>
  <c r="F36" i="4"/>
  <c r="G137" i="4" l="1"/>
  <c r="AA136" i="4"/>
  <c r="G36" i="4"/>
  <c r="H36" i="4" s="1"/>
  <c r="K36" i="4" s="1"/>
  <c r="G138" i="4" l="1"/>
  <c r="AA137" i="4"/>
  <c r="O36" i="4"/>
  <c r="P36" i="4" s="1"/>
  <c r="E37" i="4" s="1"/>
  <c r="L36" i="4"/>
  <c r="M35" i="4"/>
  <c r="X35" i="4" s="1"/>
  <c r="Q36" i="4"/>
  <c r="R36" i="4" s="1"/>
  <c r="G139" i="4" l="1"/>
  <c r="AA138" i="4"/>
  <c r="T37" i="4"/>
  <c r="F37" i="4"/>
  <c r="G140" i="4" l="1"/>
  <c r="AA139" i="4"/>
  <c r="G37" i="4"/>
  <c r="H37" i="4" s="1"/>
  <c r="K37" i="4" s="1"/>
  <c r="G141" i="4" l="1"/>
  <c r="AA140" i="4"/>
  <c r="L37" i="4"/>
  <c r="O37" i="4"/>
  <c r="P37" i="4" s="1"/>
  <c r="E38" i="4" s="1"/>
  <c r="M36" i="4"/>
  <c r="X36" i="4" s="1"/>
  <c r="Q37" i="4"/>
  <c r="R37" i="4" s="1"/>
  <c r="G142" i="4" l="1"/>
  <c r="AA141" i="4"/>
  <c r="F38" i="4"/>
  <c r="T38" i="4"/>
  <c r="G143" i="4" l="1"/>
  <c r="AA142" i="4"/>
  <c r="G38" i="4"/>
  <c r="H38" i="4" s="1"/>
  <c r="K38" i="4" s="1"/>
  <c r="G144" i="4" l="1"/>
  <c r="AA143" i="4"/>
  <c r="O38" i="4"/>
  <c r="P38" i="4" s="1"/>
  <c r="E39" i="4" s="1"/>
  <c r="L38" i="4"/>
  <c r="M37" i="4"/>
  <c r="X37" i="4" s="1"/>
  <c r="Q38" i="4"/>
  <c r="R38" i="4" s="1"/>
  <c r="G145" i="4" l="1"/>
  <c r="AA144" i="4"/>
  <c r="F39" i="4"/>
  <c r="T39" i="4"/>
  <c r="G146" i="4" l="1"/>
  <c r="AA145" i="4"/>
  <c r="G39" i="4"/>
  <c r="H39" i="4" s="1"/>
  <c r="K39" i="4" s="1"/>
  <c r="Q39" i="4" s="1"/>
  <c r="R39" i="4" s="1"/>
  <c r="G147" i="4" l="1"/>
  <c r="AA146" i="4"/>
  <c r="O39" i="4"/>
  <c r="P39" i="4" s="1"/>
  <c r="E40" i="4" s="1"/>
  <c r="L39" i="4"/>
  <c r="M38" i="4"/>
  <c r="X38" i="4" s="1"/>
  <c r="G148" i="4" l="1"/>
  <c r="AA147" i="4"/>
  <c r="F40" i="4"/>
  <c r="T40" i="4"/>
  <c r="G149" i="4" l="1"/>
  <c r="AA148" i="4"/>
  <c r="G40" i="4"/>
  <c r="H40" i="4" s="1"/>
  <c r="K40" i="4" s="1"/>
  <c r="G150" i="4" l="1"/>
  <c r="AA149" i="4"/>
  <c r="L40" i="4"/>
  <c r="O40" i="4"/>
  <c r="P40" i="4" s="1"/>
  <c r="E41" i="4" s="1"/>
  <c r="M39" i="4"/>
  <c r="X39" i="4" s="1"/>
  <c r="Q40" i="4"/>
  <c r="R40" i="4" s="1"/>
  <c r="G151" i="4" l="1"/>
  <c r="AA150" i="4"/>
  <c r="T41" i="4"/>
  <c r="F41" i="4"/>
  <c r="G152" i="4" l="1"/>
  <c r="AA151" i="4"/>
  <c r="G41" i="4"/>
  <c r="H41" i="4" s="1"/>
  <c r="K41" i="4" s="1"/>
  <c r="G153" i="4" l="1"/>
  <c r="AA152" i="4"/>
  <c r="O41" i="4"/>
  <c r="P41" i="4" s="1"/>
  <c r="E42" i="4" s="1"/>
  <c r="L41" i="4"/>
  <c r="M40" i="4"/>
  <c r="X40" i="4" s="1"/>
  <c r="Q41" i="4"/>
  <c r="R41" i="4" s="1"/>
  <c r="G154" i="4" l="1"/>
  <c r="AA153" i="4"/>
  <c r="T42" i="4"/>
  <c r="F42" i="4"/>
  <c r="G155" i="4" l="1"/>
  <c r="AA154" i="4"/>
  <c r="G42" i="4"/>
  <c r="H42" i="4" s="1"/>
  <c r="K42" i="4" s="1"/>
  <c r="Q42" i="4" s="1"/>
  <c r="R42" i="4" s="1"/>
  <c r="G156" i="4" l="1"/>
  <c r="AA155" i="4"/>
  <c r="O42" i="4"/>
  <c r="P42" i="4" s="1"/>
  <c r="E43" i="4" s="1"/>
  <c r="L42" i="4"/>
  <c r="M41" i="4"/>
  <c r="X41" i="4" s="1"/>
  <c r="G157" i="4" l="1"/>
  <c r="AA156" i="4"/>
  <c r="F43" i="4"/>
  <c r="T43" i="4"/>
  <c r="G158" i="4" l="1"/>
  <c r="AA157" i="4"/>
  <c r="G43" i="4"/>
  <c r="H43" i="4" s="1"/>
  <c r="K43" i="4" s="1"/>
  <c r="G159" i="4" l="1"/>
  <c r="AA158" i="4"/>
  <c r="L43" i="4"/>
  <c r="O43" i="4"/>
  <c r="P43" i="4" s="1"/>
  <c r="E44" i="4" s="1"/>
  <c r="M42" i="4"/>
  <c r="X42" i="4" s="1"/>
  <c r="Q43" i="4"/>
  <c r="R43" i="4" s="1"/>
  <c r="G160" i="4" l="1"/>
  <c r="AA159" i="4"/>
  <c r="T44" i="4"/>
  <c r="F44" i="4"/>
  <c r="G161" i="4" l="1"/>
  <c r="AA160" i="4"/>
  <c r="G44" i="4"/>
  <c r="H44" i="4" s="1"/>
  <c r="K44" i="4" s="1"/>
  <c r="G162" i="4" l="1"/>
  <c r="AA161" i="4"/>
  <c r="L44" i="4"/>
  <c r="O44" i="4"/>
  <c r="P44" i="4" s="1"/>
  <c r="E45" i="4" s="1"/>
  <c r="M43" i="4"/>
  <c r="X43" i="4" s="1"/>
  <c r="Q44" i="4"/>
  <c r="R44" i="4" s="1"/>
  <c r="AA162" i="4" l="1"/>
  <c r="G163" i="4"/>
  <c r="T45" i="4"/>
  <c r="F45" i="4"/>
  <c r="G164" i="4" l="1"/>
  <c r="AA163" i="4"/>
  <c r="G45" i="4"/>
  <c r="H45" i="4" s="1"/>
  <c r="K45" i="4" s="1"/>
  <c r="G165" i="4" l="1"/>
  <c r="AA164" i="4"/>
  <c r="L45" i="4"/>
  <c r="O45" i="4"/>
  <c r="P45" i="4" s="1"/>
  <c r="E46" i="4" s="1"/>
  <c r="M44" i="4"/>
  <c r="X44" i="4" s="1"/>
  <c r="Q45" i="4"/>
  <c r="R45" i="4" s="1"/>
  <c r="G166" i="4" l="1"/>
  <c r="AA165" i="4"/>
  <c r="T46" i="4"/>
  <c r="F46" i="4"/>
  <c r="G167" i="4" l="1"/>
  <c r="AA166" i="4"/>
  <c r="G46" i="4"/>
  <c r="H46" i="4" s="1"/>
  <c r="K46" i="4" s="1"/>
  <c r="Q46" i="4" s="1"/>
  <c r="R46" i="4" s="1"/>
  <c r="AA167" i="4" l="1"/>
  <c r="G168" i="4"/>
  <c r="O46" i="4"/>
  <c r="P46" i="4" s="1"/>
  <c r="E47" i="4" s="1"/>
  <c r="L46" i="4"/>
  <c r="M45" i="4"/>
  <c r="X45" i="4" s="1"/>
  <c r="G169" i="4" l="1"/>
  <c r="AA168" i="4"/>
  <c r="T47" i="4"/>
  <c r="F47" i="4"/>
  <c r="G170" i="4" l="1"/>
  <c r="AA169" i="4"/>
  <c r="G47" i="4"/>
  <c r="H47" i="4" s="1"/>
  <c r="K47" i="4" s="1"/>
  <c r="G171" i="4" l="1"/>
  <c r="AA170" i="4"/>
  <c r="O47" i="4"/>
  <c r="P47" i="4" s="1"/>
  <c r="E48" i="4" s="1"/>
  <c r="L47" i="4"/>
  <c r="M46" i="4"/>
  <c r="X46" i="4" s="1"/>
  <c r="Q47" i="4"/>
  <c r="R47" i="4" s="1"/>
  <c r="AA171" i="4" l="1"/>
  <c r="G172" i="4"/>
  <c r="T48" i="4"/>
  <c r="F48" i="4"/>
  <c r="G173" i="4" l="1"/>
  <c r="AA172" i="4"/>
  <c r="G48" i="4"/>
  <c r="H48" i="4" s="1"/>
  <c r="K48" i="4" s="1"/>
  <c r="G174" i="4" l="1"/>
  <c r="AA173" i="4"/>
  <c r="L48" i="4"/>
  <c r="O48" i="4"/>
  <c r="P48" i="4" s="1"/>
  <c r="E49" i="4" s="1"/>
  <c r="M47" i="4"/>
  <c r="X47" i="4" s="1"/>
  <c r="Q48" i="4"/>
  <c r="R48" i="4" s="1"/>
  <c r="AA174" i="4" l="1"/>
  <c r="G175" i="4"/>
  <c r="T49" i="4"/>
  <c r="F49" i="4"/>
  <c r="AA175" i="4" l="1"/>
  <c r="G176" i="4"/>
  <c r="G49" i="4"/>
  <c r="H49" i="4" s="1"/>
  <c r="K49" i="4" s="1"/>
  <c r="Q49" i="4" s="1"/>
  <c r="R49" i="4" s="1"/>
  <c r="AA176" i="4" l="1"/>
  <c r="G177" i="4"/>
  <c r="O49" i="4"/>
  <c r="P49" i="4" s="1"/>
  <c r="E50" i="4" s="1"/>
  <c r="L49" i="4"/>
  <c r="M48" i="4"/>
  <c r="X48" i="4" s="1"/>
  <c r="G178" i="4" l="1"/>
  <c r="AA177" i="4"/>
  <c r="T50" i="4"/>
  <c r="F50" i="4"/>
  <c r="G179" i="4" l="1"/>
  <c r="AA178" i="4"/>
  <c r="G50" i="4"/>
  <c r="H50" i="4" s="1"/>
  <c r="K50" i="4" s="1"/>
  <c r="Q50" i="4" s="1"/>
  <c r="R50" i="4" s="1"/>
  <c r="G180" i="4" l="1"/>
  <c r="AA179" i="4"/>
  <c r="O50" i="4"/>
  <c r="P50" i="4" s="1"/>
  <c r="E51" i="4" s="1"/>
  <c r="L50" i="4"/>
  <c r="M49" i="4"/>
  <c r="X49" i="4" s="1"/>
  <c r="G181" i="4" l="1"/>
  <c r="AA180" i="4"/>
  <c r="T51" i="4"/>
  <c r="F51" i="4"/>
  <c r="G182" i="4" l="1"/>
  <c r="AA181" i="4"/>
  <c r="G51" i="4"/>
  <c r="H51" i="4" s="1"/>
  <c r="K51" i="4" s="1"/>
  <c r="G183" i="4" l="1"/>
  <c r="AA182" i="4"/>
  <c r="O51" i="4"/>
  <c r="P51" i="4" s="1"/>
  <c r="E52" i="4" s="1"/>
  <c r="L51" i="4"/>
  <c r="M50" i="4"/>
  <c r="X50" i="4" s="1"/>
  <c r="Q51" i="4"/>
  <c r="R51" i="4" s="1"/>
  <c r="G184" i="4" l="1"/>
  <c r="AA183" i="4"/>
  <c r="F52" i="4"/>
  <c r="T52" i="4"/>
  <c r="G185" i="4" l="1"/>
  <c r="AA184" i="4"/>
  <c r="G52" i="4"/>
  <c r="H52" i="4" s="1"/>
  <c r="K52" i="4" s="1"/>
  <c r="G186" i="4" l="1"/>
  <c r="AA185" i="4"/>
  <c r="O52" i="4"/>
  <c r="P52" i="4" s="1"/>
  <c r="E53" i="4" s="1"/>
  <c r="L52" i="4"/>
  <c r="M51" i="4"/>
  <c r="X51" i="4" s="1"/>
  <c r="Q52" i="4"/>
  <c r="R52" i="4" s="1"/>
  <c r="G187" i="4" l="1"/>
  <c r="AA186" i="4"/>
  <c r="T53" i="4"/>
  <c r="F53" i="4"/>
  <c r="G188" i="4" l="1"/>
  <c r="AA187" i="4"/>
  <c r="G53" i="4"/>
  <c r="H53" i="4" s="1"/>
  <c r="K53" i="4" s="1"/>
  <c r="Q53" i="4" s="1"/>
  <c r="R53" i="4" s="1"/>
  <c r="G189" i="4" l="1"/>
  <c r="AA188" i="4"/>
  <c r="O53" i="4"/>
  <c r="P53" i="4" s="1"/>
  <c r="E54" i="4" s="1"/>
  <c r="L53" i="4"/>
  <c r="M52" i="4"/>
  <c r="X52" i="4" s="1"/>
  <c r="G190" i="4" l="1"/>
  <c r="AA189" i="4"/>
  <c r="T54" i="4"/>
  <c r="F54" i="4"/>
  <c r="G191" i="4" l="1"/>
  <c r="AA190" i="4"/>
  <c r="G54" i="4"/>
  <c r="H54" i="4" s="1"/>
  <c r="K54" i="4" s="1"/>
  <c r="G192" i="4" l="1"/>
  <c r="AA191" i="4"/>
  <c r="L54" i="4"/>
  <c r="O54" i="4"/>
  <c r="P54" i="4" s="1"/>
  <c r="E55" i="4" s="1"/>
  <c r="M53" i="4"/>
  <c r="X53" i="4" s="1"/>
  <c r="Q54" i="4"/>
  <c r="R54" i="4" s="1"/>
  <c r="G193" i="4" l="1"/>
  <c r="AA192" i="4"/>
  <c r="T55" i="4"/>
  <c r="F55" i="4"/>
  <c r="G194" i="4" l="1"/>
  <c r="AA193" i="4"/>
  <c r="G55" i="4"/>
  <c r="H55" i="4" s="1"/>
  <c r="K55" i="4" s="1"/>
  <c r="G195" i="4" l="1"/>
  <c r="AA194" i="4"/>
  <c r="L55" i="4"/>
  <c r="O55" i="4"/>
  <c r="P55" i="4" s="1"/>
  <c r="E56" i="4" s="1"/>
  <c r="M54" i="4"/>
  <c r="X54" i="4" s="1"/>
  <c r="Q55" i="4"/>
  <c r="R55" i="4" s="1"/>
  <c r="G196" i="4" l="1"/>
  <c r="AA195" i="4"/>
  <c r="F56" i="4"/>
  <c r="T56" i="4"/>
  <c r="G197" i="4" l="1"/>
  <c r="AA196" i="4"/>
  <c r="G56" i="4"/>
  <c r="H56" i="4" s="1"/>
  <c r="K56" i="4" s="1"/>
  <c r="Q56" i="4" s="1"/>
  <c r="R56" i="4" s="1"/>
  <c r="G198" i="4" l="1"/>
  <c r="AA197" i="4"/>
  <c r="L56" i="4"/>
  <c r="O56" i="4"/>
  <c r="P56" i="4" s="1"/>
  <c r="E57" i="4" s="1"/>
  <c r="M55" i="4"/>
  <c r="X55" i="4" s="1"/>
  <c r="G199" i="4" l="1"/>
  <c r="AA198" i="4"/>
  <c r="T57" i="4"/>
  <c r="F57" i="4"/>
  <c r="G200" i="4" l="1"/>
  <c r="AA199" i="4"/>
  <c r="G57" i="4"/>
  <c r="H57" i="4" s="1"/>
  <c r="K57" i="4" s="1"/>
  <c r="Q57" i="4" s="1"/>
  <c r="R57" i="4" s="1"/>
  <c r="G201" i="4" l="1"/>
  <c r="AA200" i="4"/>
  <c r="O57" i="4"/>
  <c r="P57" i="4" s="1"/>
  <c r="E58" i="4" s="1"/>
  <c r="L57" i="4"/>
  <c r="M56" i="4"/>
  <c r="X56" i="4" s="1"/>
  <c r="G202" i="4" l="1"/>
  <c r="AA201" i="4"/>
  <c r="T58" i="4"/>
  <c r="F58" i="4"/>
  <c r="G203" i="4" l="1"/>
  <c r="AA202" i="4"/>
  <c r="G58" i="4"/>
  <c r="H58" i="4" s="1"/>
  <c r="K58" i="4" s="1"/>
  <c r="Q58" i="4" s="1"/>
  <c r="R58" i="4" s="1"/>
  <c r="G204" i="4" l="1"/>
  <c r="AA203" i="4"/>
  <c r="L58" i="4"/>
  <c r="O58" i="4"/>
  <c r="P58" i="4" s="1"/>
  <c r="E59" i="4" s="1"/>
  <c r="M57" i="4"/>
  <c r="X57" i="4" s="1"/>
  <c r="G205" i="4" l="1"/>
  <c r="AA204" i="4"/>
  <c r="T59" i="4"/>
  <c r="F59" i="4"/>
  <c r="G206" i="4" l="1"/>
  <c r="AA205" i="4"/>
  <c r="G59" i="4"/>
  <c r="H59" i="4" s="1"/>
  <c r="K59" i="4" s="1"/>
  <c r="Q59" i="4" s="1"/>
  <c r="R59" i="4" s="1"/>
  <c r="G207" i="4" l="1"/>
  <c r="AA206" i="4"/>
  <c r="O59" i="4"/>
  <c r="P59" i="4" s="1"/>
  <c r="E60" i="4" s="1"/>
  <c r="L59" i="4"/>
  <c r="M58" i="4"/>
  <c r="X58" i="4" s="1"/>
  <c r="AA207" i="4" l="1"/>
  <c r="G208" i="4"/>
  <c r="T60" i="4"/>
  <c r="F60" i="4"/>
  <c r="G209" i="4" l="1"/>
  <c r="AA208" i="4"/>
  <c r="G60" i="4"/>
  <c r="H60" i="4" s="1"/>
  <c r="K60" i="4" s="1"/>
  <c r="Q60" i="4" s="1"/>
  <c r="R60" i="4" s="1"/>
  <c r="G210" i="4" l="1"/>
  <c r="AA209" i="4"/>
  <c r="O60" i="4"/>
  <c r="P60" i="4" s="1"/>
  <c r="E61" i="4" s="1"/>
  <c r="L60" i="4"/>
  <c r="M59" i="4"/>
  <c r="X59" i="4" s="1"/>
  <c r="G211" i="4" l="1"/>
  <c r="AA210" i="4"/>
  <c r="F61" i="4"/>
  <c r="T61" i="4"/>
  <c r="G212" i="4" l="1"/>
  <c r="AA211" i="4"/>
  <c r="G61" i="4"/>
  <c r="H61" i="4" s="1"/>
  <c r="K61" i="4" s="1"/>
  <c r="G213" i="4" l="1"/>
  <c r="AA212" i="4"/>
  <c r="L61" i="4"/>
  <c r="O61" i="4"/>
  <c r="P61" i="4" s="1"/>
  <c r="E62" i="4" s="1"/>
  <c r="M60" i="4"/>
  <c r="X60" i="4" s="1"/>
  <c r="Q61" i="4"/>
  <c r="R61" i="4" s="1"/>
  <c r="AA213" i="4" l="1"/>
  <c r="G214" i="4"/>
  <c r="T62" i="4"/>
  <c r="F62" i="4"/>
  <c r="G215" i="4" l="1"/>
  <c r="AA214" i="4"/>
  <c r="G62" i="4"/>
  <c r="H62" i="4" s="1"/>
  <c r="K62" i="4" s="1"/>
  <c r="G216" i="4" l="1"/>
  <c r="AA215" i="4"/>
  <c r="L62" i="4"/>
  <c r="O62" i="4"/>
  <c r="P62" i="4" s="1"/>
  <c r="E63" i="4" s="1"/>
  <c r="M61" i="4"/>
  <c r="X61" i="4" s="1"/>
  <c r="Q62" i="4"/>
  <c r="R62" i="4" s="1"/>
  <c r="G217" i="4" l="1"/>
  <c r="AA216" i="4"/>
  <c r="F63" i="4"/>
  <c r="T63" i="4"/>
  <c r="G218" i="4" l="1"/>
  <c r="AA217" i="4"/>
  <c r="G63" i="4"/>
  <c r="H63" i="4" s="1"/>
  <c r="K63" i="4" s="1"/>
  <c r="Q63" i="4" s="1"/>
  <c r="R63" i="4" s="1"/>
  <c r="G219" i="4" l="1"/>
  <c r="AA218" i="4"/>
  <c r="O63" i="4"/>
  <c r="P63" i="4" s="1"/>
  <c r="E64" i="4" s="1"/>
  <c r="L63" i="4"/>
  <c r="M62" i="4"/>
  <c r="X62" i="4" s="1"/>
  <c r="G220" i="4" l="1"/>
  <c r="AA219" i="4"/>
  <c r="F64" i="4"/>
  <c r="T64" i="4"/>
  <c r="G221" i="4" l="1"/>
  <c r="AA220" i="4"/>
  <c r="G64" i="4"/>
  <c r="H64" i="4" s="1"/>
  <c r="K64" i="4" s="1"/>
  <c r="G222" i="4" l="1"/>
  <c r="AA221" i="4"/>
  <c r="O64" i="4"/>
  <c r="P64" i="4" s="1"/>
  <c r="E65" i="4" s="1"/>
  <c r="L64" i="4"/>
  <c r="M63" i="4"/>
  <c r="X63" i="4" s="1"/>
  <c r="Q64" i="4"/>
  <c r="R64" i="4" s="1"/>
  <c r="AA222" i="4" l="1"/>
  <c r="G223" i="4"/>
  <c r="F65" i="4"/>
  <c r="T65" i="4"/>
  <c r="G224" i="4" l="1"/>
  <c r="AA223" i="4"/>
  <c r="G65" i="4"/>
  <c r="H65" i="4" s="1"/>
  <c r="K65" i="4" s="1"/>
  <c r="Q65" i="4" s="1"/>
  <c r="R65" i="4" s="1"/>
  <c r="AA224" i="4" l="1"/>
  <c r="G225" i="4"/>
  <c r="O65" i="4"/>
  <c r="P65" i="4" s="1"/>
  <c r="M65" i="4"/>
  <c r="X65" i="4" s="1"/>
  <c r="L65" i="4"/>
  <c r="M64" i="4"/>
  <c r="X64" i="4" s="1"/>
  <c r="G226" i="4" l="1"/>
  <c r="AA225" i="4"/>
  <c r="G227" i="4" l="1"/>
  <c r="AA226" i="4"/>
  <c r="G228" i="4" l="1"/>
  <c r="AA227" i="4"/>
  <c r="AA228" i="4" l="1"/>
  <c r="G229" i="4"/>
  <c r="G230" i="4" l="1"/>
  <c r="AA229" i="4"/>
  <c r="AA230" i="4" l="1"/>
  <c r="G231" i="4"/>
  <c r="G232" i="4" l="1"/>
  <c r="AA231" i="4"/>
  <c r="G233" i="4" l="1"/>
  <c r="AA232" i="4"/>
  <c r="G234" i="4" l="1"/>
  <c r="AA233" i="4"/>
  <c r="G235" i="4" l="1"/>
  <c r="AA234" i="4"/>
  <c r="G236" i="4" l="1"/>
  <c r="AA235" i="4"/>
  <c r="G237" i="4" l="1"/>
  <c r="AA236" i="4"/>
  <c r="AA237" i="4" l="1"/>
  <c r="G238" i="4"/>
  <c r="G239" i="4" l="1"/>
  <c r="AA238" i="4"/>
  <c r="G240" i="4" l="1"/>
  <c r="AA239" i="4"/>
  <c r="G241" i="4" l="1"/>
  <c r="AA240" i="4"/>
  <c r="G242" i="4" l="1"/>
  <c r="AA241" i="4"/>
  <c r="G243" i="4" l="1"/>
  <c r="AA242" i="4"/>
  <c r="G244" i="4" l="1"/>
  <c r="AA243" i="4"/>
  <c r="G245" i="4" l="1"/>
  <c r="AA244" i="4"/>
  <c r="G246" i="4" l="1"/>
  <c r="AA245" i="4"/>
  <c r="G247" i="4" l="1"/>
  <c r="AA246" i="4"/>
  <c r="AA247" i="4" l="1"/>
  <c r="G248" i="4"/>
  <c r="AA248" i="4" l="1"/>
  <c r="G249" i="4"/>
  <c r="G250" i="4" l="1"/>
  <c r="AA249" i="4"/>
  <c r="AA250" i="4" l="1"/>
  <c r="G251" i="4"/>
  <c r="AA251" i="4" s="1"/>
</calcChain>
</file>

<file path=xl/sharedStrings.xml><?xml version="1.0" encoding="utf-8"?>
<sst xmlns="http://schemas.openxmlformats.org/spreadsheetml/2006/main" count="411" uniqueCount="321">
  <si>
    <t>Druck</t>
  </si>
  <si>
    <t>Höhe</t>
  </si>
  <si>
    <t>Temperatur</t>
  </si>
  <si>
    <t>Taupunkt</t>
  </si>
  <si>
    <t>Rel. Feuchte %</t>
  </si>
  <si>
    <t>►</t>
  </si>
  <si>
    <t xml:space="preserve">    hPa     m      C      C      %    g/kg    deg   knot     K      K      K </t>
  </si>
  <si>
    <t>Mix. Ratio</t>
  </si>
  <si>
    <t>Wind (°)</t>
  </si>
  <si>
    <t>Wind (Kn)</t>
  </si>
  <si>
    <t>Luftdruck</t>
  </si>
  <si>
    <t>DIAGRAMME</t>
  </si>
  <si>
    <t>Rel. Feuchte</t>
  </si>
  <si>
    <t>Spread</t>
  </si>
  <si>
    <t>-----------------------------------------------------------------------------</t>
  </si>
  <si>
    <t>Umwandeln mit der TEIL-Funktion</t>
  </si>
  <si>
    <t>DEZIMALPUNKT IN KOMMA VERWANDELN</t>
  </si>
  <si>
    <t>Sättigung</t>
  </si>
  <si>
    <t>Windrichtung</t>
  </si>
  <si>
    <t>Windstärke</t>
  </si>
  <si>
    <t>ROH, GETRENNT MIT DEZIMALPUNKT</t>
  </si>
  <si>
    <t xml:space="preserve">   PRES   HGHT   TEMP   DWPT   RELH   MIXR   DRCT   SKNT   THTA   THTE   THTV</t>
  </si>
  <si>
    <t>▼</t>
  </si>
  <si>
    <t>(Teil-Funktion =TEIL(ZELLE;1;7))</t>
  </si>
  <si>
    <t>(Wechseln-Funktion =WECHSELN(ZELLE;".";",")*1)</t>
  </si>
  <si>
    <t>Quelle: http://weather.uwyo.edu/upperair/sounding.html</t>
  </si>
  <si>
    <t>Auslesen von Wetterdaten täglicher Radiosondenaufstiege</t>
  </si>
  <si>
    <t>p (Druck)</t>
  </si>
  <si>
    <t>Standardatmosphäre</t>
  </si>
  <si>
    <t>FELD VOR DEM EINFÜGEN NEUER DATEN LEEREN!</t>
  </si>
  <si>
    <t>DATENZEILEN SIND JE NACH AUFSTIEG UNTERSCHIEDLICH LANG</t>
  </si>
  <si>
    <t>Wind (km/h)</t>
  </si>
  <si>
    <t>(km/h)</t>
  </si>
  <si>
    <t>nicht vorhandene Werte: -999</t>
  </si>
  <si>
    <t>ThetaA</t>
  </si>
  <si>
    <t>ThetaE</t>
  </si>
  <si>
    <t>ThetaV</t>
  </si>
  <si>
    <r>
      <t>KI = (T</t>
    </r>
    <r>
      <rPr>
        <vertAlign val="subscript"/>
        <sz val="14"/>
        <color rgb="FF000000"/>
        <rFont val="Calibri"/>
        <family val="2"/>
        <scheme val="minor"/>
      </rPr>
      <t>850hPa</t>
    </r>
    <r>
      <rPr>
        <sz val="14"/>
        <color rgb="FF000000"/>
        <rFont val="Calibri"/>
        <family val="2"/>
        <scheme val="minor"/>
      </rPr>
      <t xml:space="preserve"> – T</t>
    </r>
    <r>
      <rPr>
        <vertAlign val="subscript"/>
        <sz val="14"/>
        <color rgb="FF000000"/>
        <rFont val="Calibri"/>
        <family val="2"/>
        <scheme val="minor"/>
      </rPr>
      <t>500hPa</t>
    </r>
    <r>
      <rPr>
        <sz val="14"/>
        <color rgb="FF000000"/>
        <rFont val="Calibri"/>
        <family val="2"/>
        <scheme val="minor"/>
      </rPr>
      <t>) + Td</t>
    </r>
    <r>
      <rPr>
        <vertAlign val="subscript"/>
        <sz val="14"/>
        <color rgb="FF000000"/>
        <rFont val="Calibri"/>
        <family val="2"/>
        <scheme val="minor"/>
      </rPr>
      <t>850hPa</t>
    </r>
    <r>
      <rPr>
        <sz val="14"/>
        <color rgb="FF000000"/>
        <rFont val="Calibri"/>
        <family val="2"/>
        <scheme val="minor"/>
      </rPr>
      <t xml:space="preserve"> – (T</t>
    </r>
    <r>
      <rPr>
        <vertAlign val="subscript"/>
        <sz val="14"/>
        <color rgb="FF000000"/>
        <rFont val="Calibri"/>
        <family val="2"/>
        <scheme val="minor"/>
      </rPr>
      <t>700hPa</t>
    </r>
    <r>
      <rPr>
        <sz val="14"/>
        <color rgb="FF000000"/>
        <rFont val="Calibri"/>
        <family val="2"/>
        <scheme val="minor"/>
      </rPr>
      <t xml:space="preserve"> - Td</t>
    </r>
    <r>
      <rPr>
        <vertAlign val="subscript"/>
        <sz val="14"/>
        <color rgb="FF000000"/>
        <rFont val="Calibri"/>
        <family val="2"/>
        <scheme val="minor"/>
      </rPr>
      <t>700hPa</t>
    </r>
    <r>
      <rPr>
        <sz val="14"/>
        <color rgb="FF000000"/>
        <rFont val="Calibri"/>
        <family val="2"/>
        <scheme val="minor"/>
      </rPr>
      <t>)</t>
    </r>
  </si>
  <si>
    <t>KI=</t>
  </si>
  <si>
    <t>Konvektives Potential</t>
  </si>
  <si>
    <t>15 - 25</t>
  </si>
  <si>
    <t>gering</t>
  </si>
  <si>
    <t>26 - 39</t>
  </si>
  <si>
    <t>mäßig</t>
  </si>
  <si>
    <t>&gt;40</t>
  </si>
  <si>
    <t>groß</t>
  </si>
  <si>
    <t>KI</t>
  </si>
  <si>
    <r>
      <t>KI = (T</t>
    </r>
    <r>
      <rPr>
        <vertAlign val="subscript"/>
        <sz val="12"/>
        <color rgb="FF000000"/>
        <rFont val="Calibri"/>
        <family val="2"/>
        <scheme val="minor"/>
      </rPr>
      <t>850hPa</t>
    </r>
    <r>
      <rPr>
        <sz val="12"/>
        <color rgb="FF000000"/>
        <rFont val="Calibri"/>
        <family val="2"/>
        <scheme val="minor"/>
      </rPr>
      <t xml:space="preserve"> – T</t>
    </r>
    <r>
      <rPr>
        <vertAlign val="subscript"/>
        <sz val="12"/>
        <color rgb="FF000000"/>
        <rFont val="Calibri"/>
        <family val="2"/>
        <scheme val="minor"/>
      </rPr>
      <t>500hPa</t>
    </r>
    <r>
      <rPr>
        <sz val="12"/>
        <color rgb="FF000000"/>
        <rFont val="Calibri"/>
        <family val="2"/>
        <scheme val="minor"/>
      </rPr>
      <t>) + Td</t>
    </r>
    <r>
      <rPr>
        <vertAlign val="subscript"/>
        <sz val="12"/>
        <color rgb="FF000000"/>
        <rFont val="Calibri"/>
        <family val="2"/>
        <scheme val="minor"/>
      </rPr>
      <t>850hPa</t>
    </r>
    <r>
      <rPr>
        <sz val="12"/>
        <color rgb="FF000000"/>
        <rFont val="Calibri"/>
        <family val="2"/>
        <scheme val="minor"/>
      </rPr>
      <t xml:space="preserve"> – (T</t>
    </r>
    <r>
      <rPr>
        <vertAlign val="subscript"/>
        <sz val="12"/>
        <color rgb="FF000000"/>
        <rFont val="Calibri"/>
        <family val="2"/>
        <scheme val="minor"/>
      </rPr>
      <t>700hPa</t>
    </r>
    <r>
      <rPr>
        <sz val="12"/>
        <color rgb="FF000000"/>
        <rFont val="Calibri"/>
        <family val="2"/>
        <scheme val="minor"/>
      </rPr>
      <t xml:space="preserve"> - Td</t>
    </r>
    <r>
      <rPr>
        <vertAlign val="subscript"/>
        <sz val="12"/>
        <color rgb="FF000000"/>
        <rFont val="Calibri"/>
        <family val="2"/>
        <scheme val="minor"/>
      </rPr>
      <t>700hPa</t>
    </r>
    <r>
      <rPr>
        <sz val="12"/>
        <color rgb="FF000000"/>
        <rFont val="Calibri"/>
        <family val="2"/>
        <scheme val="minor"/>
      </rPr>
      <t>)</t>
    </r>
  </si>
  <si>
    <t>THTA</t>
  </si>
  <si>
    <t>THTE</t>
  </si>
  <si>
    <t>THTV</t>
  </si>
  <si>
    <t>THTA (°C)</t>
  </si>
  <si>
    <t>THTE (°C)</t>
  </si>
  <si>
    <t>THTV (°C)</t>
  </si>
  <si>
    <t>Basis</t>
  </si>
  <si>
    <t xml:space="preserve">Kontinent auswählen, Datenformat "List" anzeigen, Station auswählen, </t>
  </si>
  <si>
    <r>
      <t>Datenreihen inkl. Überschrift kopieren und in leeres (!) Feld einfügen (</t>
    </r>
    <r>
      <rPr>
        <sz val="14"/>
        <color rgb="FFFF0000"/>
        <rFont val="Calibri"/>
        <family val="2"/>
        <scheme val="minor"/>
      </rPr>
      <t>►</t>
    </r>
    <r>
      <rPr>
        <sz val="14"/>
        <color theme="1"/>
        <rFont val="Calibri"/>
        <family val="2"/>
        <scheme val="minor"/>
      </rPr>
      <t>)</t>
    </r>
  </si>
  <si>
    <t>EINGABE:</t>
  </si>
  <si>
    <t>Bei ausgeprägten Bodeninversionen ist es notwendig, als Basistemperatur</t>
  </si>
  <si>
    <t xml:space="preserve">der Standardatmosphäre nicht die Bodentemperatur zu wählen sondern </t>
  </si>
  <si>
    <t>die Temperatur unmittelbar oberhalb der Inversion</t>
  </si>
  <si>
    <t>Druck (hPa)</t>
  </si>
  <si>
    <t>Höhe (m)</t>
  </si>
  <si>
    <t>Temperatur (°C)</t>
  </si>
  <si>
    <t>Taupunkt (°C)</t>
  </si>
  <si>
    <t>Standardatmosphäre: Basistemperatur</t>
  </si>
  <si>
    <t>(°C)</t>
  </si>
  <si>
    <t>TT = (T850 - T500) + (Td850 - T500)     </t>
  </si>
  <si>
    <t>TT=</t>
  </si>
  <si>
    <t>TT-Index (Konvektions- und Gewitterwahrscheinlichkeit)</t>
  </si>
  <si>
    <t>Konvektion unwahrscheinlich</t>
  </si>
  <si>
    <t>44 - 50</t>
  </si>
  <si>
    <t>Konvektion wahrscheinlich</t>
  </si>
  <si>
    <t>51 - 52</t>
  </si>
  <si>
    <t>vereinzelte Gewitter</t>
  </si>
  <si>
    <t xml:space="preserve">verbreitete Gewitter </t>
  </si>
  <si>
    <t>sehr hohe Gewitterwahrscheinlichkeit</t>
  </si>
  <si>
    <t xml:space="preserve"> 53 - 56 </t>
  </si>
  <si>
    <t xml:space="preserve">15 - 25 </t>
  </si>
  <si>
    <t xml:space="preserve">26 - 39 </t>
  </si>
  <si>
    <t xml:space="preserve">&gt; 40  </t>
  </si>
  <si>
    <t>&gt; 56</t>
  </si>
  <si>
    <t xml:space="preserve">&lt; 44 </t>
  </si>
  <si>
    <t>J / kg</t>
  </si>
  <si>
    <t>J / kg K</t>
  </si>
  <si>
    <t>°C</t>
  </si>
  <si>
    <t>K</t>
  </si>
  <si>
    <t>e (Eulersche Zahl)</t>
  </si>
  <si>
    <t>VERLAUF DER FEUCHTADIABATE</t>
  </si>
  <si>
    <t>J/kg K</t>
  </si>
  <si>
    <t>Trockenadiabatischer Gradient (DALR)</t>
  </si>
  <si>
    <t>°C/1000m</t>
  </si>
  <si>
    <t>Temperatur Standardatmosphäre</t>
  </si>
  <si>
    <t>Temp °C</t>
  </si>
  <si>
    <t>Temp K</t>
  </si>
  <si>
    <t>Wasserdampfdruck (mB)</t>
  </si>
  <si>
    <r>
      <t xml:space="preserve">Luftdruck (berechnet mit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T über die ganze Schicht)</t>
    </r>
  </si>
  <si>
    <t>Ws = 0.622Es / (P - Es)</t>
  </si>
  <si>
    <t>Sättigungsmischungsverhältnis g/kg</t>
  </si>
  <si>
    <t>DIAGRAMM</t>
  </si>
  <si>
    <t>T (°C)</t>
  </si>
  <si>
    <t>T (K)</t>
  </si>
  <si>
    <t>Luftdruck (hPa = mB)</t>
  </si>
  <si>
    <t>Wasserdampfpartialdruck (mB)</t>
  </si>
  <si>
    <t>Sättigungsmischungsverhältnis</t>
  </si>
  <si>
    <t>Sättigung ( g / kg)</t>
  </si>
  <si>
    <t>Dampfdruck</t>
  </si>
  <si>
    <t>DAMPFDRUCK (mB, hPa)</t>
  </si>
  <si>
    <t>LN</t>
  </si>
  <si>
    <t>Temperatur (K)</t>
  </si>
  <si>
    <t>Trockenadiabate</t>
  </si>
  <si>
    <t>T°C</t>
  </si>
  <si>
    <t>hPa</t>
  </si>
  <si>
    <t>m</t>
  </si>
  <si>
    <t>Taupunkt °C</t>
  </si>
  <si>
    <t>(g Wasser / kg Luft)</t>
  </si>
  <si>
    <t>Feuchtadiabate --------</t>
  </si>
  <si>
    <t>Trockenadiabate --------</t>
  </si>
  <si>
    <t>mB = hPa</t>
  </si>
  <si>
    <t>°C/m</t>
  </si>
  <si>
    <t>Positionierung der Adiabaten</t>
  </si>
  <si>
    <t xml:space="preserve"> ---------</t>
  </si>
  <si>
    <t>*) Schnittpunkt der Trockenadiabate</t>
  </si>
  <si>
    <t xml:space="preserve">und der Kurve des konstanten </t>
  </si>
  <si>
    <t>Sättigungsmischungsverhältnisses</t>
  </si>
  <si>
    <t>●</t>
  </si>
  <si>
    <t>und der Sättigungskurve</t>
  </si>
  <si>
    <t>Dichte Luft</t>
  </si>
  <si>
    <t>kg bzw. mm</t>
  </si>
  <si>
    <t>Ausfällbares Wasser</t>
  </si>
  <si>
    <t>Schichtdicke 1000 - 500 hPa (m)</t>
  </si>
  <si>
    <t>Daraus ermittelte Höhe</t>
  </si>
  <si>
    <r>
      <t>Ausfällbares Wasser (Luftsäule 1m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von 0 - 16500 m)</t>
    </r>
  </si>
  <si>
    <r>
      <t>Wasser g/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</si>
  <si>
    <t>Basis der Trockenadiabate ist die Temperatur</t>
  </si>
  <si>
    <t>in Bodennähe</t>
  </si>
  <si>
    <t>Basis der Sättigungskurve ist der Taupunkt</t>
  </si>
  <si>
    <t>Basis der Feuchtadiabate ist das</t>
  </si>
  <si>
    <t>Kondensationsniveau* (HKN, KKN)</t>
  </si>
  <si>
    <t>Stabilität bzw. Labilität der Atmosphäre, Konvektions- und Gewitterpotenzial</t>
  </si>
  <si>
    <t>im Taupunkt am Boden und entlang der Kurve</t>
  </si>
  <si>
    <t>Sättigungskurve</t>
  </si>
  <si>
    <t>konstantes Sättigungsmischungsverhältnis</t>
  </si>
  <si>
    <t>HÖHE</t>
  </si>
  <si>
    <t>(m NN)</t>
  </si>
  <si>
    <r>
      <t>Optional zum Vergleich: Stüve oder Skew TLogP-Diagramm einfügen (</t>
    </r>
    <r>
      <rPr>
        <sz val="14"/>
        <color rgb="FF0070C0"/>
        <rFont val="Calibri"/>
        <family val="2"/>
        <scheme val="minor"/>
      </rPr>
      <t>►</t>
    </r>
    <r>
      <rPr>
        <sz val="14"/>
        <color theme="1"/>
        <rFont val="Calibri"/>
        <family val="2"/>
        <scheme val="minor"/>
      </rPr>
      <t>)</t>
    </r>
  </si>
  <si>
    <t>DALR (°C/km)</t>
  </si>
  <si>
    <t>Dampfdruck (mB)</t>
  </si>
  <si>
    <t>T K</t>
  </si>
  <si>
    <t>Delta Höhe</t>
  </si>
  <si>
    <t>MALR (km)</t>
  </si>
  <si>
    <t>MALR (m)</t>
  </si>
  <si>
    <t>Auswahl &lt;P &lt;T</t>
  </si>
  <si>
    <t>T = Temperatur in Kelvin</t>
  </si>
  <si>
    <t>Beispiel: Umrechnung Temperatur °C in Kelvin 30° C = 303 K</t>
  </si>
  <si>
    <t>w = Mischungsverhältnis in kg Wasserdampf / kg Luft</t>
  </si>
  <si>
    <t>e = Dampfdruck in Millibar (= Hektopascal)</t>
  </si>
  <si>
    <t>P = Luftdruck in Millbar (= Hektopascal)</t>
  </si>
  <si>
    <r>
      <t>Sättigungsmischungsverhältnis (W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</t>
    </r>
  </si>
  <si>
    <r>
      <t>W</t>
    </r>
    <r>
      <rPr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= 0.622E</t>
    </r>
    <r>
      <rPr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/ (P - E</t>
    </r>
    <r>
      <rPr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)</t>
    </r>
  </si>
  <si>
    <r>
      <t>LN(E</t>
    </r>
    <r>
      <rPr>
        <vertAlign val="subscript"/>
        <sz val="12"/>
        <rFont val="Calibri"/>
        <family val="2"/>
        <scheme val="minor"/>
      </rPr>
      <t>s</t>
    </r>
    <r>
      <rPr>
        <sz val="12"/>
        <rFont val="Calibri"/>
        <family val="2"/>
        <scheme val="minor"/>
      </rPr>
      <t>/6,11) = (q</t>
    </r>
    <r>
      <rPr>
        <vertAlign val="subscript"/>
        <sz val="12"/>
        <rFont val="Calibri"/>
        <family val="2"/>
        <scheme val="minor"/>
      </rPr>
      <t>v</t>
    </r>
    <r>
      <rPr>
        <sz val="12"/>
        <rFont val="Calibri"/>
        <family val="2"/>
        <scheme val="minor"/>
      </rPr>
      <t>/R</t>
    </r>
    <r>
      <rPr>
        <vertAlign val="subscript"/>
        <sz val="12"/>
        <rFont val="Calibri"/>
        <family val="2"/>
        <scheme val="minor"/>
      </rPr>
      <t>w</t>
    </r>
    <r>
      <rPr>
        <sz val="12"/>
        <rFont val="Calibri"/>
        <family val="2"/>
        <scheme val="minor"/>
      </rPr>
      <t xml:space="preserve"> )(1/273 - 1/T)</t>
    </r>
  </si>
  <si>
    <r>
      <t>E</t>
    </r>
    <r>
      <rPr>
        <vertAlign val="subscript"/>
        <sz val="12"/>
        <rFont val="Calibri"/>
        <family val="2"/>
        <scheme val="minor"/>
      </rPr>
      <t>s</t>
    </r>
    <r>
      <rPr>
        <sz val="12"/>
        <rFont val="Calibri"/>
        <family val="2"/>
        <scheme val="minor"/>
      </rPr>
      <t xml:space="preserve"> = Sättigungsdampfdruck</t>
    </r>
  </si>
  <si>
    <r>
      <t>q</t>
    </r>
    <r>
      <rPr>
        <vertAlign val="subscript"/>
        <sz val="12"/>
        <rFont val="Calibri"/>
        <family val="2"/>
        <scheme val="minor"/>
      </rPr>
      <t>v</t>
    </r>
    <r>
      <rPr>
        <sz val="12"/>
        <rFont val="Calibri"/>
        <family val="2"/>
        <scheme val="minor"/>
      </rPr>
      <t xml:space="preserve"> = Spezifische Verdampfungswärme = 2.453 × 10^6 J/kg</t>
    </r>
  </si>
  <si>
    <r>
      <t>LN(E</t>
    </r>
    <r>
      <rPr>
        <vertAlign val="subscript"/>
        <sz val="12"/>
        <rFont val="Calibri"/>
        <family val="2"/>
        <scheme val="minor"/>
      </rPr>
      <t>s</t>
    </r>
    <r>
      <rPr>
        <sz val="12"/>
        <rFont val="Calibri"/>
        <family val="2"/>
        <scheme val="minor"/>
      </rPr>
      <t>/6,11) = (2.453×10^6 J/kg/461 J/kg)(1/273 - 1/303)</t>
    </r>
  </si>
  <si>
    <r>
      <t>LN(E</t>
    </r>
    <r>
      <rPr>
        <vertAlign val="subscript"/>
        <sz val="12"/>
        <rFont val="Calibri"/>
        <family val="2"/>
        <scheme val="minor"/>
      </rPr>
      <t>s</t>
    </r>
    <r>
      <rPr>
        <sz val="12"/>
        <rFont val="Calibri"/>
        <family val="2"/>
        <scheme val="minor"/>
      </rPr>
      <t>/6,11) = (5,321.041215)(0.003663004 - 0.00330033)</t>
    </r>
  </si>
  <si>
    <r>
      <t>LN (E</t>
    </r>
    <r>
      <rPr>
        <vertAlign val="subscript"/>
        <sz val="12"/>
        <rFont val="Calibri"/>
        <family val="2"/>
        <scheme val="minor"/>
      </rPr>
      <t>s</t>
    </r>
    <r>
      <rPr>
        <sz val="12"/>
        <rFont val="Calibri"/>
        <family val="2"/>
        <scheme val="minor"/>
      </rPr>
      <t>/6,11) = 1.929801333</t>
    </r>
  </si>
  <si>
    <r>
      <t>E</t>
    </r>
    <r>
      <rPr>
        <vertAlign val="subscript"/>
        <sz val="12"/>
        <rFont val="Calibri"/>
        <family val="2"/>
        <scheme val="minor"/>
      </rPr>
      <t>s</t>
    </r>
    <r>
      <rPr>
        <sz val="12"/>
        <rFont val="Calibri"/>
        <family val="2"/>
        <scheme val="minor"/>
      </rPr>
      <t>/6,11 = e^1.929801333</t>
    </r>
  </si>
  <si>
    <r>
      <t>E</t>
    </r>
    <r>
      <rPr>
        <vertAlign val="subscript"/>
        <sz val="12"/>
        <rFont val="Calibri"/>
        <family val="2"/>
        <scheme val="minor"/>
      </rPr>
      <t>s</t>
    </r>
    <r>
      <rPr>
        <sz val="12"/>
        <rFont val="Calibri"/>
        <family val="2"/>
        <scheme val="minor"/>
      </rPr>
      <t xml:space="preserve"> = (e^1.929801333)(6,11) = 42.1 mb</t>
    </r>
  </si>
  <si>
    <t>Clausius-Clapeyron Gleichung</t>
  </si>
  <si>
    <r>
      <t>q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=</t>
    </r>
  </si>
  <si>
    <r>
      <t>R</t>
    </r>
    <r>
      <rPr>
        <vertAlign val="subscript"/>
        <sz val="11"/>
        <color theme="1"/>
        <rFont val="Calibri"/>
        <family val="2"/>
        <scheme val="minor"/>
      </rPr>
      <t>w</t>
    </r>
  </si>
  <si>
    <t xml:space="preserve">Sättigungsmischungsverhältnis </t>
  </si>
  <si>
    <t>J/kg</t>
  </si>
  <si>
    <t>J/kg*K</t>
  </si>
  <si>
    <t>kg Wasser / kg Luft</t>
  </si>
  <si>
    <t>g Wasser / kg Luft</t>
  </si>
  <si>
    <t>Berechnung nach Eingabe</t>
  </si>
  <si>
    <t>Konstantes Sättigungsmischungsverhältnis</t>
  </si>
  <si>
    <r>
      <t>W</t>
    </r>
    <r>
      <rPr>
        <vertAlign val="subscript"/>
        <sz val="11"/>
        <color theme="1"/>
        <rFont val="Calibri"/>
        <family val="2"/>
        <scheme val="minor"/>
      </rPr>
      <t>s</t>
    </r>
  </si>
  <si>
    <t>Stüve-Diagramm mit Kurven des konstanten Sättigungsmischungsverhältnisses</t>
  </si>
  <si>
    <t>T = Temperatur</t>
  </si>
  <si>
    <t>P = Luftdruck</t>
  </si>
  <si>
    <r>
      <t>R</t>
    </r>
    <r>
      <rPr>
        <vertAlign val="subscript"/>
        <sz val="12"/>
        <rFont val="Calibri"/>
        <family val="2"/>
        <scheme val="minor"/>
      </rPr>
      <t>w</t>
    </r>
    <r>
      <rPr>
        <sz val="12"/>
        <rFont val="Calibri"/>
        <family val="2"/>
        <scheme val="minor"/>
      </rPr>
      <t xml:space="preserve"> = Gaskonstante für feuchte Luft = 461 J/(kg*K)</t>
    </r>
  </si>
  <si>
    <r>
      <t>R</t>
    </r>
    <r>
      <rPr>
        <vertAlign val="subscript"/>
        <sz val="12"/>
        <rFont val="Calibri"/>
        <family val="2"/>
        <scheme val="minor"/>
      </rPr>
      <t>w</t>
    </r>
    <r>
      <rPr>
        <sz val="12"/>
        <rFont val="Calibri"/>
        <family val="2"/>
        <scheme val="minor"/>
      </rPr>
      <t xml:space="preserve"> = Gaskonstante für feuchte Luft</t>
    </r>
  </si>
  <si>
    <t xml:space="preserve"> J/kg*K</t>
  </si>
  <si>
    <r>
      <t>q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= Spezifische Verdampfungswärme</t>
    </r>
  </si>
  <si>
    <t>g = Schwerebeschleunigung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</si>
  <si>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</si>
  <si>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t>cpd = Spezifische Wärme trockener Luft( konstanter Druck)</t>
  </si>
  <si>
    <t>rv = Mischungsverhältnis Wasserdampf / Trockene Luft</t>
  </si>
  <si>
    <t>kg/kg</t>
  </si>
  <si>
    <t>Lv = Spezifische Verdampfungswärme</t>
  </si>
  <si>
    <t>R = Gaskonstante (trockene Luft)</t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</si>
  <si>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= Verhältnis Gaskonstante / Wasserdampf</t>
    </r>
  </si>
  <si>
    <t>Feuchtadiabatischer Gradient (MALR)</t>
  </si>
  <si>
    <t>K-Index (Konvektives Potenzial)</t>
  </si>
  <si>
    <t>mm oder Liter</t>
  </si>
  <si>
    <t>Temperaturgradient/1000m</t>
  </si>
  <si>
    <r>
      <t>Luftsäule Grundfläche 1m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gemittelt über 16500 m</t>
    </r>
  </si>
  <si>
    <r>
      <t>Γ</t>
    </r>
    <r>
      <rPr>
        <b/>
        <sz val="9"/>
        <color theme="1"/>
        <rFont val="Calibri"/>
        <family val="2"/>
      </rPr>
      <t xml:space="preserve"> (°C/km)</t>
    </r>
  </si>
  <si>
    <r>
      <t>Γ</t>
    </r>
    <r>
      <rPr>
        <b/>
        <vertAlign val="subscript"/>
        <sz val="11"/>
        <color theme="1"/>
        <rFont val="Calibri"/>
        <family val="2"/>
        <scheme val="minor"/>
      </rPr>
      <t>(ICAO)</t>
    </r>
  </si>
  <si>
    <t>48698 WSSS Singapore Observations at 00Z 20 Sep 2019</t>
  </si>
  <si>
    <t xml:space="preserve"> 1010.0     16   28.2   25.0     83  20.23    305      4  300.5  360.2  304.1</t>
  </si>
  <si>
    <t xml:space="preserve"> 1009.0     25   28.1   24.9     83  20.18    105      2  300.5  360.0  304.1</t>
  </si>
  <si>
    <t xml:space="preserve"> 1000.0    110   27.2   24.4     85  19.69    105      3  300.4  358.4  303.9</t>
  </si>
  <si>
    <t xml:space="preserve">  972.0    361   24.5   23.4     94  19.12    125     10  300.1  356.3  303.5</t>
  </si>
  <si>
    <t xml:space="preserve">  959.0    480   23.2   23.0     99  18.85    132     10  299.9  355.3  303.3</t>
  </si>
  <si>
    <t xml:space="preserve">  937.0    683   21.9   21.3     96  17.38    145     11  300.6  351.8  303.7</t>
  </si>
  <si>
    <t xml:space="preserve">  925.0    796   21.2   20.4     95  16.61    170      8  301.0  350.0  304.0</t>
  </si>
  <si>
    <t xml:space="preserve">  913.0    909   20.4   19.8     96  16.23    180     10  301.3  349.3  304.2</t>
  </si>
  <si>
    <t xml:space="preserve">  900.0   1034   19.6   19.2     98  15.82    184     10  301.7  348.5  304.6</t>
  </si>
  <si>
    <t xml:space="preserve">  883.0   1198   18.9   17.8     94  14.78    190     11  302.6  346.5  305.3</t>
  </si>
  <si>
    <t xml:space="preserve">  850.0   1526   17.4   15.1     86  12.86    155     12  304.4  342.9  306.7</t>
  </si>
  <si>
    <t xml:space="preserve">  848.0   1546   17.4   15.2     87  12.97    150     12  304.6  343.5  306.9</t>
  </si>
  <si>
    <t xml:space="preserve">  839.0   1638   17.2   13.3     78  11.57    155     13  305.3  340.2  307.4</t>
  </si>
  <si>
    <t xml:space="preserve">  830.0   1730   18.0    7.0     49   7.62    159     14  307.1  330.5  308.5</t>
  </si>
  <si>
    <t xml:space="preserve">  829.0   1740   17.9    6.8     48   7.55    160     14  307.1  330.4  308.5</t>
  </si>
  <si>
    <t xml:space="preserve">  800.0   2044   16.2    2.2     39   5.64    173     11  308.4  326.1  309.4</t>
  </si>
  <si>
    <t xml:space="preserve">  796.0   2086   15.9    1.8     38   5.50    175     10  308.6  325.8  309.6</t>
  </si>
  <si>
    <t xml:space="preserve">  700.0   3165    9.4   -8.6     27   2.87    155     14  312.9  322.3  313.4</t>
  </si>
  <si>
    <t xml:space="preserve">  657.0   3687    6.0   -9.0     33   2.96    153     10  314.8  324.6  315.3</t>
  </si>
  <si>
    <t xml:space="preserve">  605.0   4354    2.5  -20.7     16   1.22    150      4  318.2  322.5  318.4</t>
  </si>
  <si>
    <t xml:space="preserve">  582.0   4668    0.8  -26.2     11   0.78    138      8  319.8  322.6  319.9</t>
  </si>
  <si>
    <t xml:space="preserve">  568.0   4863    0.1  -22.9     16   1.07    130     10  321.1  325.0  321.3</t>
  </si>
  <si>
    <t xml:space="preserve">  560.0   4976   -0.4  -21.0     19   1.29    100     13  321.9  326.5  322.2</t>
  </si>
  <si>
    <t xml:space="preserve">  558.0   5005   -0.5  -20.5     20   1.35     98     13  322.1  326.9  322.4</t>
  </si>
  <si>
    <t xml:space="preserve">  528.0   5442   -4.2  -14.5     44   2.36     65     10  322.8  330.9  323.2</t>
  </si>
  <si>
    <t xml:space="preserve">  521.0   5548   -5.1  -13.1     53   2.69     80     11  322.9  332.2  323.5</t>
  </si>
  <si>
    <t xml:space="preserve">  511.0   5700   -5.8  -18.1     37   1.81     65     13  323.8  330.2  324.2</t>
  </si>
  <si>
    <t xml:space="preserve">  501.0   5854   -6.6  -23.2     26   1.19     85     19  324.7  329.0  324.9</t>
  </si>
  <si>
    <t xml:space="preserve">  500.0   5870   -6.7  -23.7     25   1.14     85     19  324.8  328.9  325.0</t>
  </si>
  <si>
    <t xml:space="preserve">  485.0   6108   -7.3  -28.3     17   0.77     82     19  326.9  329.8  327.1</t>
  </si>
  <si>
    <t xml:space="preserve">  433.0   6985  -11.9  -35.9     12   0.41     71     21  331.8  333.5  331.9</t>
  </si>
  <si>
    <t xml:space="preserve">  409.0   7420  -13.8  -43.5      6   0.20     65     22  334.9  335.7  334.9</t>
  </si>
  <si>
    <t xml:space="preserve">  400.0   7590  -14.5  -46.5      5   0.15     65     23  336.1  336.7  336.1</t>
  </si>
  <si>
    <t xml:space="preserve">  377.0   8034  -17.1  -50.1      4   0.10     70     23  338.4  338.8  338.4</t>
  </si>
  <si>
    <t xml:space="preserve">  355.0   8485  -19.7  -53.7      3   0.07     85     28  340.7  341.0  340.7</t>
  </si>
  <si>
    <t xml:space="preserve">  329.0   9039  -24.1  -55.3      4   0.06    105     35  342.1  342.4  342.1</t>
  </si>
  <si>
    <t xml:space="preserve">  302.0   9663  -29.1  -57.1      5   0.06    100     38  343.6  343.9  343.6</t>
  </si>
  <si>
    <t xml:space="preserve">  300.0   9710  -29.5  -55.5      6   0.07    100     38  343.7  344.0  343.7</t>
  </si>
  <si>
    <t xml:space="preserve">  278.0  10241  -34.4  -51.2     17   0.12     90     42  344.1  344.7  344.2</t>
  </si>
  <si>
    <t xml:space="preserve">  254.0  10869  -40.3  -46.1     54   0.24     75     35  344.5  345.5  344.5</t>
  </si>
  <si>
    <t xml:space="preserve">  250.0  10980  -41.3  -45.2     66   0.27     65     29  344.5  345.7  344.6</t>
  </si>
  <si>
    <t xml:space="preserve">  249.0  11007  -41.5  -45.4     66   0.27     65     29  344.6  345.7  344.6</t>
  </si>
  <si>
    <t xml:space="preserve">  243.0  11171  -43.0  -46.5     69   0.24     50     32  344.7  345.7  344.8</t>
  </si>
  <si>
    <t xml:space="preserve">  242.0  11199  -43.3  -46.7     69   0.24     50     32  344.7  345.8  344.8</t>
  </si>
  <si>
    <t xml:space="preserve">  217.0  11922  -48.5  -59.5     27   0.06     62     38  347.6  347.9  347.6</t>
  </si>
  <si>
    <t xml:space="preserve">  215.0  11982  -49.3  -54.3     56   0.11     63     38  347.3  347.8  347.3</t>
  </si>
  <si>
    <t xml:space="preserve">  209.0  12166  -51.1  -55.6     59   0.10     65     40  347.3  347.7  347.3</t>
  </si>
  <si>
    <t xml:space="preserve">  200.0  12450  -53.5  -56.9     66   0.09     70     42  347.9  348.3  347.9</t>
  </si>
  <si>
    <t xml:space="preserve">  196.0  12580  -54.7  -57.2     74   0.09     74     44  348.0  348.4  348.0</t>
  </si>
  <si>
    <t xml:space="preserve">  185.0  12948  -57.1  -68.1     24   0.02     84     51  349.9  350.0  349.9</t>
  </si>
  <si>
    <t xml:space="preserve">  184.0  12982  -57.1  -69.1     20   0.02     85     52  350.4  350.5  350.4</t>
  </si>
  <si>
    <t xml:space="preserve">  180.0  13121  -57.3  -73.3     11   0.01     89     51  352.3  352.4  352.3</t>
  </si>
  <si>
    <t xml:space="preserve">  164.0  13698  -62.1  -74.0     19   0.01    105     46  353.8  353.8  353.8</t>
  </si>
  <si>
    <t xml:space="preserve">  150.0  14250  -66.7  -74.7     32   0.01    105     43  355.0  355.0  355.0</t>
  </si>
  <si>
    <t xml:space="preserve">  137.0  14788  -71.6  -77.2     43   0.01    115     37  355.6  355.6  355.6</t>
  </si>
  <si>
    <t xml:space="preserve">  130.0  15100  -74.5  -78.7     52   0.01    117     44  355.8  355.9  355.8</t>
  </si>
  <si>
    <t xml:space="preserve">  123.0  15420  -75.5  -81.8     37   0.00    120     52  359.8  359.8  359.8</t>
  </si>
  <si>
    <t xml:space="preserve">  112.0  15962  -77.1  -87.1     19   0.00    103     35  366.4  366.5  366.4</t>
  </si>
  <si>
    <t xml:space="preserve">  110.0  16065  -77.4  -87.0     21   0.00    100     32  367.8  367.8  367.8</t>
  </si>
  <si>
    <t xml:space="preserve">  104.0  16386  -78.3  -86.6     26   0.00     80     39  371.9  371.9  371.9</t>
  </si>
  <si>
    <t xml:space="preserve">  103.0  16441  -78.5  -86.5     26   0.00     85     37  372.6  372.7  372.6</t>
  </si>
  <si>
    <t xml:space="preserve">  100.0  16610  -77.9  -86.9     22   0.00    100     22  377.0  377.0  377.0</t>
  </si>
  <si>
    <t xml:space="preserve">   97.0  16783  -78.3  -87.1     23   0.00    105     10  379.5  379.6  379.5</t>
  </si>
  <si>
    <t xml:space="preserve">   94.0  16961  -78.7  -87.3     24   0.00    205      1  382.2  382.2  382.2</t>
  </si>
  <si>
    <t xml:space="preserve">   82.0  17734  -80.3  -88.0     27   0.00     35     10  394.0  394.0  394.0</t>
  </si>
  <si>
    <t xml:space="preserve">   73.3  18370  -81.7  -88.7     30   0.00     78     10  403.9  403.9  403.9</t>
  </si>
  <si>
    <t xml:space="preserve">   70.0  18630  -78.9  -88.9     18   0.00     95     10  415.3  415.3  415.3</t>
  </si>
  <si>
    <t xml:space="preserve">   69.0  18713  -77.2  -89.4     13   0.00    100     14  420.6  420.6  420.6</t>
  </si>
  <si>
    <t xml:space="preserve">   66.8  18901  -73.5  -90.5      6   0.00    102     15  432.6  432.6  432.6</t>
  </si>
  <si>
    <t xml:space="preserve">   63.0  19246  -72.1  -91.8      4   0.00    105     18  443.0  443.0  443.0</t>
  </si>
  <si>
    <t xml:space="preserve">   62.0  19341  -71.7  -92.2      3   0.00    100     21  445.9  445.9  445.9</t>
  </si>
  <si>
    <t xml:space="preserve">   61.0  19437  -71.3  -92.6      3   0.00     90     20  448.9  448.9  448.9</t>
  </si>
  <si>
    <t xml:space="preserve">   60.1  19525  -70.9  -92.9      3   0.00    100     17  451.6  451.6  451.6</t>
  </si>
  <si>
    <t xml:space="preserve">   58.6  19677  -65.9  -93.9      1   0.00    118     12  466.1  466.2  466.1</t>
  </si>
  <si>
    <t xml:space="preserve">   58.0  19739  -66.2  -93.7      1   0.00    125     10  466.8  466.8  466.8</t>
  </si>
  <si>
    <t xml:space="preserve">   56.4  19909  -67.1  -93.1      1   0.00    185      4  468.5  468.6  468.5</t>
  </si>
  <si>
    <t xml:space="preserve">   56.0  19952  -67.0  -93.0      1   0.00    200      2  469.7  469.7  469.7</t>
  </si>
  <si>
    <t xml:space="preserve">   55.0  20061  -66.8  -92.8      1   0.00    245     10  472.5  472.5  472.5</t>
  </si>
  <si>
    <t xml:space="preserve">   53.0  20286  -66.5  -92.5      2   0.00    290     17  478.4  478.4  478.4</t>
  </si>
  <si>
    <t xml:space="preserve">   51.0  20520  -66.1  -92.1      2   0.00    300     26  484.6  484.6  484.6</t>
  </si>
  <si>
    <t xml:space="preserve">   50.0  20640  -65.9  -91.9      2   0.00    300     25  487.8  487.8  487.8</t>
  </si>
  <si>
    <t xml:space="preserve">   47.0  21016  -64.8  -92.0      1   0.00    295     24  499.1  499.1  499.1</t>
  </si>
  <si>
    <t xml:space="preserve">   44.0  21417  -63.7  -92.1      1   0.00    265     33  511.4  511.4  511.4</t>
  </si>
  <si>
    <t xml:space="preserve">   42.6  21613  -63.1  -92.1      1   0.00    270     34  517.5  517.5  517.5</t>
  </si>
  <si>
    <t xml:space="preserve">   37.0  22468  -64.6  -92.7      1   0.00    290     40  534.9  534.9  534.9</t>
  </si>
  <si>
    <t xml:space="preserve">   33.0  23163  -65.8  -93.1      1   0.00    315     28  549.4  549.5  549.4</t>
  </si>
  <si>
    <t xml:space="preserve">   31.6  23426  -66.3  -93.3      1   0.00    298     28  555.0  555.0  555.0</t>
  </si>
  <si>
    <t xml:space="preserve">   31.0  23542  -65.6  -93.4      1   0.00    290     28  559.9  559.9  559.9</t>
  </si>
  <si>
    <t xml:space="preserve">   28.0  24165  -62.8  -92.9      1   0.00    225     13  584.2  584.2  584.2</t>
  </si>
  <si>
    <t xml:space="preserve">   26.5  24504  -61.5  -92.5      1   0.00    244     24  597.2  597.2  597.2</t>
  </si>
  <si>
    <t xml:space="preserve">   26.0  24621  -61.6  -92.5      1   0.00    250     28  600.0  600.1  600.0</t>
  </si>
  <si>
    <t xml:space="preserve">   25.0  24863  -62.0  -92.5      1   0.00    240     31  605.9  606.0  605.9</t>
  </si>
  <si>
    <t xml:space="preserve">   23.0  25378  -62.6  -92.6      1   0.00    265     19  618.6  618.6  618.6</t>
  </si>
  <si>
    <t xml:space="preserve">   22.0  25652  -63.0  -92.6      1   0.00    300     16  625.5  625.5  625.5</t>
  </si>
  <si>
    <t xml:space="preserve">   20.0  26240  -63.7  -92.7      1   0.00    290      8  640.5  640.5  640.5</t>
  </si>
  <si>
    <t xml:space="preserve">   19.0  26553  -65.0  -93.3      1   0.00    355     15  646.0  646.0  646.0</t>
  </si>
  <si>
    <t xml:space="preserve">   18.6  26682  -65.5  -93.5      1   0.00      7     19  648.3  648.3  648.3</t>
  </si>
  <si>
    <t xml:space="preserve">   17.6  27019  -64.1  -94.1      1   0.00     40     30  663.0  663.1  663.0</t>
  </si>
  <si>
    <t xml:space="preserve">   17.0  27236  -61.3  -93.0      1   0.00     60     37  678.7  678.7  678.7</t>
  </si>
  <si>
    <t xml:space="preserve">   16.0  27615  -56.4  -91.1      1   0.01    115     41  706.6  706.6  706.6</t>
  </si>
  <si>
    <t xml:space="preserve">   15.6  27773  -54.3  -90.3      0   0.01    119     37  718.5  718.5  718.5</t>
  </si>
  <si>
    <t xml:space="preserve">   15.0  28023  -55.1  -90.3      1   0.01    125     32  724.0  724.1  724.0</t>
  </si>
  <si>
    <t xml:space="preserve">   14.0  28461  -56.4  -90.3      1   0.01     95     25  733.8  733.9  733.8</t>
  </si>
  <si>
    <t xml:space="preserve">   13.4  28739  -57.3  -90.3      1   0.01     83     30  740.1  740.2  740.1</t>
  </si>
  <si>
    <t xml:space="preserve">   13.0  28931  -57.2  -90.5      1   0.01     75     33  746.7  746.8  746.7</t>
  </si>
  <si>
    <t xml:space="preserve">   12.0  29436  -57.1  -91.0      1   0.01    100     68  764.4  764.5  764.4</t>
  </si>
  <si>
    <t xml:space="preserve">   11.8  29542  -57.1  -91.1      1   0.01    102     67  768.1  768.2  768.1</t>
  </si>
  <si>
    <t xml:space="preserve">   11.0  29988  -54.7  -90.7      0   0.01    110     61  792.4  792.5  792.4</t>
  </si>
  <si>
    <t xml:space="preserve">   10.7  30166  -49.7  -87.7      0   0.02    106     64  817.0  817.2  817.0</t>
  </si>
  <si>
    <t xml:space="preserve">   10.0  30610  -48.1  -87.1      0   0.02     95     73  838.9  839.2  838.9</t>
  </si>
  <si>
    <t xml:space="preserve">    8.6  31611  -44.7  -84.7      0   0.04     88     73  889.1  889.6  889.1</t>
  </si>
  <si>
    <t xml:space="preserve">    8.0  32095  -44.5  -84.5      0   0.04     85     73  908.4  908.9  908.4</t>
  </si>
  <si>
    <t xml:space="preserve">    7.6  32439  -44.4  -84.4      0   0.04     85     88  922.3  922.9  922.3</t>
  </si>
  <si>
    <t xml:space="preserve">    7.0  32989  -44.2  -84.2      0   0.05     85     84  945.1  945.8  945.1</t>
  </si>
  <si>
    <t xml:space="preserve">    6.8  33184  -44.1  -84.1      0   0.05                953.3  954.0  953.3</t>
  </si>
  <si>
    <t>MALR = dT/dz = DALR / (1 + L/Cpd*dWs/dT)</t>
  </si>
  <si>
    <t>Quelle Wikipedia</t>
  </si>
  <si>
    <t>Zum Vergleich: Stüve Diagramm University of Wyoming</t>
  </si>
  <si>
    <t xml:space="preserve">   30.0  23740  -64.5  -93.5      1   0.00    295     11  568.2  568.2  568.2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</si>
</sst>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0"/>
    <numFmt numFmtId="166" formatCode="0.000000"/>
    <numFmt numFmtId="167" formatCode="0.000"/>
    <numFmt numFmtId="168" formatCode="0.0000000"/>
    <numFmt numFmtId="169" formatCode="0.0000"/>
  </numFmts>
  <fonts count="68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Courier New"/>
      <family val="3"/>
    </font>
    <font>
      <sz val="8"/>
      <color theme="1"/>
      <name val="Courier New"/>
      <family val="3"/>
    </font>
    <font>
      <b/>
      <sz val="18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Arial Unicode MS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Arial"/>
      <family val="2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vertAlign val="subscript"/>
      <sz val="14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6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2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3.5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2060"/>
      <name val="Arial"/>
      <family val="2"/>
    </font>
    <font>
      <sz val="18"/>
      <color rgb="FFFFC000"/>
      <name val="Arial"/>
      <family val="2"/>
    </font>
    <font>
      <sz val="18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.5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" fontId="0" fillId="0" borderId="0" xfId="0" applyNumberFormat="1"/>
    <xf numFmtId="0" fontId="8" fillId="0" borderId="0" xfId="0" applyFont="1"/>
    <xf numFmtId="0" fontId="9" fillId="2" borderId="0" xfId="0" applyFont="1" applyFill="1" applyAlignment="1">
      <alignment horizontal="right"/>
    </xf>
    <xf numFmtId="0" fontId="5" fillId="2" borderId="0" xfId="0" applyFont="1" applyFill="1"/>
    <xf numFmtId="0" fontId="10" fillId="0" borderId="0" xfId="0" applyFont="1" applyFill="1"/>
    <xf numFmtId="0" fontId="10" fillId="0" borderId="0" xfId="0" applyFont="1"/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vertical="center"/>
    </xf>
    <xf numFmtId="0" fontId="11" fillId="2" borderId="0" xfId="0" applyFont="1" applyFill="1"/>
    <xf numFmtId="1" fontId="8" fillId="0" borderId="0" xfId="0" applyNumberFormat="1" applyFont="1"/>
    <xf numFmtId="0" fontId="12" fillId="0" borderId="0" xfId="0" applyFont="1"/>
    <xf numFmtId="1" fontId="0" fillId="0" borderId="0" xfId="0" applyNumberFormat="1" applyFont="1"/>
    <xf numFmtId="0" fontId="13" fillId="0" borderId="0" xfId="0" applyFont="1"/>
    <xf numFmtId="1" fontId="13" fillId="0" borderId="0" xfId="0" applyNumberFormat="1" applyFont="1"/>
    <xf numFmtId="0" fontId="8" fillId="3" borderId="0" xfId="0" applyFont="1" applyFill="1"/>
    <xf numFmtId="164" fontId="14" fillId="0" borderId="0" xfId="0" applyNumberFormat="1" applyFont="1"/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0" fillId="4" borderId="1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15" fillId="0" borderId="0" xfId="0" applyFont="1"/>
    <xf numFmtId="164" fontId="8" fillId="3" borderId="0" xfId="0" applyNumberFormat="1" applyFont="1" applyFill="1"/>
    <xf numFmtId="0" fontId="0" fillId="0" borderId="0" xfId="0" applyFill="1"/>
    <xf numFmtId="0" fontId="15" fillId="2" borderId="0" xfId="0" applyFont="1" applyFill="1"/>
    <xf numFmtId="0" fontId="26" fillId="0" borderId="0" xfId="0" applyFont="1" applyFill="1"/>
    <xf numFmtId="0" fontId="23" fillId="2" borderId="0" xfId="0" applyFont="1" applyFill="1"/>
    <xf numFmtId="1" fontId="23" fillId="2" borderId="0" xfId="0" applyNumberFormat="1" applyFont="1" applyFill="1"/>
    <xf numFmtId="164" fontId="23" fillId="2" borderId="0" xfId="0" applyNumberFormat="1" applyFont="1" applyFill="1"/>
    <xf numFmtId="0" fontId="27" fillId="0" borderId="0" xfId="0" applyFont="1"/>
    <xf numFmtId="0" fontId="15" fillId="0" borderId="0" xfId="0" applyFont="1" applyAlignment="1">
      <alignment horizontal="center" vertical="center"/>
    </xf>
    <xf numFmtId="0" fontId="28" fillId="0" borderId="0" xfId="0" applyFont="1"/>
    <xf numFmtId="0" fontId="25" fillId="0" borderId="0" xfId="0" applyFont="1"/>
    <xf numFmtId="2" fontId="8" fillId="0" borderId="0" xfId="0" applyNumberFormat="1" applyFont="1"/>
    <xf numFmtId="2" fontId="11" fillId="0" borderId="0" xfId="0" applyNumberFormat="1" applyFont="1" applyAlignment="1">
      <alignment horizontal="right" vertical="center"/>
    </xf>
    <xf numFmtId="0" fontId="11" fillId="0" borderId="0" xfId="0" applyFont="1" applyFill="1"/>
    <xf numFmtId="0" fontId="0" fillId="0" borderId="0" xfId="0" applyAlignment="1">
      <alignment textRotation="90"/>
    </xf>
    <xf numFmtId="0" fontId="8" fillId="0" borderId="0" xfId="0" applyFont="1" applyFill="1"/>
    <xf numFmtId="0" fontId="11" fillId="0" borderId="0" xfId="0" applyFont="1"/>
    <xf numFmtId="1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2" fontId="8" fillId="0" borderId="0" xfId="0" applyNumberFormat="1" applyFont="1" applyFill="1"/>
    <xf numFmtId="164" fontId="11" fillId="0" borderId="0" xfId="0" applyNumberFormat="1" applyFont="1" applyFill="1"/>
    <xf numFmtId="0" fontId="30" fillId="0" borderId="0" xfId="0" applyFont="1"/>
    <xf numFmtId="166" fontId="0" fillId="0" borderId="0" xfId="0" applyNumberFormat="1"/>
    <xf numFmtId="0" fontId="32" fillId="0" borderId="0" xfId="0" applyFont="1" applyAlignment="1">
      <alignment textRotation="90"/>
    </xf>
    <xf numFmtId="0" fontId="33" fillId="0" borderId="0" xfId="0" applyFont="1"/>
    <xf numFmtId="167" fontId="0" fillId="0" borderId="0" xfId="0" applyNumberFormat="1"/>
    <xf numFmtId="2" fontId="34" fillId="0" borderId="0" xfId="0" applyNumberFormat="1" applyFont="1"/>
    <xf numFmtId="0" fontId="35" fillId="0" borderId="0" xfId="0" applyFont="1"/>
    <xf numFmtId="168" fontId="0" fillId="0" borderId="0" xfId="0" applyNumberFormat="1"/>
    <xf numFmtId="0" fontId="32" fillId="0" borderId="0" xfId="0" applyFont="1"/>
    <xf numFmtId="165" fontId="0" fillId="0" borderId="0" xfId="0" applyNumberFormat="1"/>
    <xf numFmtId="0" fontId="36" fillId="0" borderId="0" xfId="0" applyFont="1"/>
    <xf numFmtId="0" fontId="37" fillId="0" borderId="0" xfId="0" applyFont="1"/>
    <xf numFmtId="0" fontId="38" fillId="0" borderId="0" xfId="0" applyFont="1"/>
    <xf numFmtId="169" fontId="0" fillId="0" borderId="0" xfId="0" applyNumberFormat="1"/>
    <xf numFmtId="2" fontId="11" fillId="0" borderId="0" xfId="0" applyNumberFormat="1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 applyFill="1"/>
    <xf numFmtId="166" fontId="8" fillId="0" borderId="0" xfId="0" applyNumberFormat="1" applyFont="1"/>
    <xf numFmtId="0" fontId="8" fillId="0" borderId="0" xfId="0" quotePrefix="1" applyFont="1" applyFill="1"/>
    <xf numFmtId="164" fontId="8" fillId="0" borderId="0" xfId="0" applyNumberFormat="1" applyFont="1"/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5" borderId="0" xfId="0" applyFont="1" applyFill="1"/>
    <xf numFmtId="164" fontId="47" fillId="5" borderId="0" xfId="0" applyNumberFormat="1" applyFont="1" applyFill="1"/>
    <xf numFmtId="165" fontId="47" fillId="5" borderId="0" xfId="0" applyNumberFormat="1" applyFont="1" applyFill="1"/>
    <xf numFmtId="2" fontId="47" fillId="5" borderId="0" xfId="0" applyNumberFormat="1" applyFont="1" applyFill="1"/>
    <xf numFmtId="164" fontId="48" fillId="5" borderId="0" xfId="0" applyNumberFormat="1" applyFont="1" applyFill="1"/>
    <xf numFmtId="1" fontId="47" fillId="5" borderId="0" xfId="0" applyNumberFormat="1" applyFont="1" applyFill="1"/>
    <xf numFmtId="169" fontId="0" fillId="0" borderId="0" xfId="0" applyNumberFormat="1" applyFill="1" applyAlignment="1">
      <alignment vertical="center"/>
    </xf>
    <xf numFmtId="2" fontId="0" fillId="0" borderId="0" xfId="0" applyNumberFormat="1" applyFill="1"/>
    <xf numFmtId="164" fontId="0" fillId="0" borderId="0" xfId="0" applyNumberFormat="1" applyFill="1" applyAlignment="1">
      <alignment vertical="center"/>
    </xf>
    <xf numFmtId="0" fontId="13" fillId="0" borderId="0" xfId="0" applyFont="1" applyFill="1"/>
    <xf numFmtId="165" fontId="13" fillId="0" borderId="0" xfId="0" applyNumberFormat="1" applyFont="1" applyFill="1" applyAlignment="1">
      <alignment vertical="center"/>
    </xf>
    <xf numFmtId="49" fontId="0" fillId="0" borderId="0" xfId="0" applyNumberFormat="1"/>
    <xf numFmtId="0" fontId="13" fillId="0" borderId="0" xfId="0" applyFont="1" applyFill="1" applyAlignment="1">
      <alignment horizontal="left" vertical="center" textRotation="90"/>
    </xf>
    <xf numFmtId="164" fontId="13" fillId="0" borderId="0" xfId="0" applyNumberFormat="1" applyFont="1"/>
    <xf numFmtId="1" fontId="13" fillId="0" borderId="0" xfId="0" applyNumberFormat="1" applyFont="1" applyFill="1"/>
    <xf numFmtId="166" fontId="0" fillId="0" borderId="0" xfId="0" applyNumberFormat="1" applyFill="1"/>
    <xf numFmtId="1" fontId="0" fillId="2" borderId="0" xfId="0" applyNumberFormat="1" applyFill="1"/>
    <xf numFmtId="164" fontId="8" fillId="0" borderId="0" xfId="0" quotePrefix="1" applyNumberFormat="1" applyFont="1" applyFill="1"/>
    <xf numFmtId="164" fontId="47" fillId="0" borderId="0" xfId="0" applyNumberFormat="1" applyFont="1"/>
    <xf numFmtId="0" fontId="47" fillId="0" borderId="0" xfId="0" applyFont="1" applyAlignment="1">
      <alignment textRotation="90"/>
    </xf>
    <xf numFmtId="0" fontId="48" fillId="0" borderId="0" xfId="0" applyFont="1" applyAlignment="1">
      <alignment textRotation="90"/>
    </xf>
    <xf numFmtId="164" fontId="48" fillId="0" borderId="0" xfId="0" applyNumberFormat="1" applyFont="1"/>
    <xf numFmtId="1" fontId="48" fillId="0" borderId="0" xfId="0" applyNumberFormat="1" applyFont="1"/>
    <xf numFmtId="1" fontId="14" fillId="0" borderId="0" xfId="0" applyNumberFormat="1" applyFont="1" applyFill="1"/>
    <xf numFmtId="0" fontId="14" fillId="0" borderId="0" xfId="0" applyFont="1" applyFill="1"/>
    <xf numFmtId="2" fontId="48" fillId="0" borderId="0" xfId="0" applyNumberFormat="1" applyFont="1"/>
    <xf numFmtId="2" fontId="51" fillId="0" borderId="0" xfId="0" applyNumberFormat="1" applyFont="1" applyAlignment="1">
      <alignment vertical="center"/>
    </xf>
    <xf numFmtId="164" fontId="8" fillId="0" borderId="0" xfId="0" applyNumberFormat="1" applyFont="1" applyFill="1"/>
    <xf numFmtId="0" fontId="52" fillId="0" borderId="0" xfId="0" applyFont="1"/>
    <xf numFmtId="0" fontId="53" fillId="0" borderId="0" xfId="0" applyFont="1"/>
    <xf numFmtId="0" fontId="8" fillId="0" borderId="0" xfId="0" applyFont="1" applyAlignment="1">
      <alignment horizontal="right" vertical="center"/>
    </xf>
    <xf numFmtId="0" fontId="7" fillId="2" borderId="0" xfId="0" applyFont="1" applyFill="1"/>
    <xf numFmtId="0" fontId="55" fillId="0" borderId="0" xfId="0" applyFont="1" applyAlignment="1">
      <alignment textRotation="90"/>
    </xf>
    <xf numFmtId="164" fontId="0" fillId="2" borderId="0" xfId="0" applyNumberFormat="1" applyFill="1"/>
    <xf numFmtId="1" fontId="0" fillId="6" borderId="0" xfId="0" applyNumberFormat="1" applyFill="1"/>
    <xf numFmtId="164" fontId="0" fillId="6" borderId="0" xfId="0" applyNumberFormat="1" applyFill="1" applyAlignment="1">
      <alignment vertical="center"/>
    </xf>
    <xf numFmtId="2" fontId="8" fillId="6" borderId="0" xfId="0" applyNumberFormat="1" applyFont="1" applyFill="1"/>
    <xf numFmtId="165" fontId="13" fillId="6" borderId="0" xfId="0" applyNumberFormat="1" applyFont="1" applyFill="1" applyAlignment="1">
      <alignment vertical="center"/>
    </xf>
    <xf numFmtId="169" fontId="0" fillId="6" borderId="0" xfId="0" applyNumberFormat="1" applyFill="1" applyAlignment="1">
      <alignment vertical="center"/>
    </xf>
    <xf numFmtId="164" fontId="0" fillId="6" borderId="0" xfId="0" applyNumberFormat="1" applyFill="1"/>
    <xf numFmtId="165" fontId="0" fillId="6" borderId="0" xfId="0" applyNumberFormat="1" applyFill="1"/>
    <xf numFmtId="2" fontId="0" fillId="6" borderId="0" xfId="0" applyNumberFormat="1" applyFill="1"/>
    <xf numFmtId="164" fontId="11" fillId="6" borderId="0" xfId="0" applyNumberFormat="1" applyFont="1" applyFill="1"/>
    <xf numFmtId="166" fontId="0" fillId="6" borderId="0" xfId="0" applyNumberFormat="1" applyFill="1"/>
    <xf numFmtId="0" fontId="0" fillId="6" borderId="0" xfId="0" applyFill="1"/>
    <xf numFmtId="2" fontId="34" fillId="6" borderId="0" xfId="0" applyNumberFormat="1" applyFont="1" applyFill="1"/>
    <xf numFmtId="164" fontId="13" fillId="6" borderId="0" xfId="0" applyNumberFormat="1" applyFont="1" applyFill="1"/>
    <xf numFmtId="164" fontId="8" fillId="6" borderId="0" xfId="0" applyNumberFormat="1" applyFont="1" applyFill="1"/>
    <xf numFmtId="164" fontId="47" fillId="6" borderId="0" xfId="0" applyNumberFormat="1" applyFont="1" applyFill="1"/>
    <xf numFmtId="164" fontId="48" fillId="6" borderId="0" xfId="0" applyNumberFormat="1" applyFont="1" applyFill="1"/>
    <xf numFmtId="2" fontId="14" fillId="0" borderId="0" xfId="0" applyNumberFormat="1" applyFont="1" applyFill="1"/>
    <xf numFmtId="1" fontId="0" fillId="3" borderId="0" xfId="0" applyNumberFormat="1" applyFill="1"/>
    <xf numFmtId="164" fontId="0" fillId="3" borderId="0" xfId="0" applyNumberFormat="1" applyFill="1" applyAlignment="1">
      <alignment vertical="center"/>
    </xf>
    <xf numFmtId="2" fontId="34" fillId="0" borderId="0" xfId="0" applyNumberFormat="1" applyFont="1" applyFill="1"/>
    <xf numFmtId="164" fontId="13" fillId="0" borderId="0" xfId="0" applyNumberFormat="1" applyFont="1" applyFill="1"/>
    <xf numFmtId="164" fontId="47" fillId="0" borderId="0" xfId="0" applyNumberFormat="1" applyFont="1" applyFill="1"/>
    <xf numFmtId="164" fontId="48" fillId="0" borderId="0" xfId="0" applyNumberFormat="1" applyFont="1" applyFill="1"/>
    <xf numFmtId="1" fontId="8" fillId="0" borderId="0" xfId="0" quotePrefix="1" applyNumberFormat="1" applyFont="1" applyFill="1"/>
    <xf numFmtId="1" fontId="13" fillId="0" borderId="0" xfId="0" applyNumberFormat="1" applyFont="1" applyFill="1" applyAlignment="1">
      <alignment vertical="center"/>
    </xf>
    <xf numFmtId="164" fontId="14" fillId="0" borderId="0" xfId="0" applyNumberFormat="1" applyFont="1" applyFill="1"/>
    <xf numFmtId="1" fontId="13" fillId="7" borderId="0" xfId="0" applyNumberFormat="1" applyFont="1" applyFill="1" applyAlignment="1">
      <alignment vertical="center"/>
    </xf>
    <xf numFmtId="0" fontId="56" fillId="0" borderId="0" xfId="0" applyFont="1"/>
    <xf numFmtId="0" fontId="14" fillId="0" borderId="0" xfId="0" applyFont="1"/>
    <xf numFmtId="0" fontId="58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3" borderId="0" xfId="0" applyNumberFormat="1" applyFill="1"/>
    <xf numFmtId="0" fontId="63" fillId="0" borderId="0" xfId="0" applyFont="1"/>
    <xf numFmtId="0" fontId="64" fillId="0" borderId="0" xfId="0" applyFont="1" applyAlignment="1">
      <alignment horizontal="center" vertical="center" readingOrder="1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quotePrefix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55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7" fillId="2" borderId="0" xfId="0" quotePrefix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right" vertical="center" wrapText="1"/>
    </xf>
    <xf numFmtId="0" fontId="27" fillId="2" borderId="0" xfId="0" applyFont="1" applyFill="1" applyAlignment="1">
      <alignment vertical="center"/>
    </xf>
    <xf numFmtId="0" fontId="27" fillId="2" borderId="0" xfId="0" applyFont="1" applyFill="1"/>
    <xf numFmtId="0" fontId="19" fillId="2" borderId="0" xfId="0" applyFont="1" applyFill="1"/>
    <xf numFmtId="164" fontId="7" fillId="2" borderId="0" xfId="0" applyNumberFormat="1" applyFont="1" applyFill="1"/>
    <xf numFmtId="0" fontId="65" fillId="2" borderId="0" xfId="0" applyFont="1" applyFill="1" applyAlignment="1">
      <alignment horizontal="right" vertical="center"/>
    </xf>
    <xf numFmtId="164" fontId="0" fillId="2" borderId="0" xfId="0" applyNumberFormat="1" applyFill="1" applyAlignment="1">
      <alignment vertical="center"/>
    </xf>
    <xf numFmtId="164" fontId="0" fillId="8" borderId="0" xfId="0" applyNumberFormat="1" applyFill="1" applyAlignment="1">
      <alignment vertical="center"/>
    </xf>
    <xf numFmtId="164" fontId="12" fillId="8" borderId="0" xfId="0" applyNumberFormat="1" applyFont="1" applyFill="1" applyAlignment="1">
      <alignment vertical="center"/>
    </xf>
    <xf numFmtId="167" fontId="12" fillId="0" borderId="0" xfId="0" applyNumberFormat="1" applyFont="1"/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5" fillId="3" borderId="0" xfId="0" applyNumberFormat="1" applyFont="1" applyFill="1" applyProtection="1">
      <protection locked="0"/>
    </xf>
    <xf numFmtId="0" fontId="37" fillId="3" borderId="0" xfId="0" applyFont="1" applyFill="1" applyProtection="1">
      <protection locked="0"/>
    </xf>
    <xf numFmtId="164" fontId="37" fillId="3" borderId="0" xfId="0" applyNumberFormat="1" applyFont="1" applyFill="1" applyProtection="1">
      <protection locked="0"/>
    </xf>
    <xf numFmtId="164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0" fontId="25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0" borderId="0" xfId="0" applyFont="1" applyFill="1"/>
    <xf numFmtId="0" fontId="0" fillId="0" borderId="0" xfId="0" applyFill="1" applyProtection="1">
      <protection locked="0"/>
    </xf>
    <xf numFmtId="0" fontId="15" fillId="0" borderId="0" xfId="0" applyFont="1" applyProtection="1"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Luftdruck (hPa)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60807112368697"/>
          <c:y val="9.2969345078156032E-2"/>
          <c:w val="0.84951447575812722"/>
          <c:h val="0.83656442429232425"/>
        </c:manualLayout>
      </c:layout>
      <c:scatterChart>
        <c:scatterStyle val="lineMarker"/>
        <c:varyColors val="0"/>
        <c:ser>
          <c:idx val="1"/>
          <c:order val="1"/>
          <c:tx>
            <c:v>LUFTDRUCK</c:v>
          </c:tx>
          <c:spPr>
            <a:ln w="31750"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'Daten Auswertung'!$AV$28:$AV$159</c:f>
              <c:numCache>
                <c:formatCode>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Auswertung'!$AW$28:$AW$159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ser>
          <c:idx val="0"/>
          <c:order val="0"/>
          <c:tx>
            <c:v>STANDARDATMOSHÄRE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'Daten Auswertung'!$BV$28:$BV$138</c:f>
              <c:numCache>
                <c:formatCode>0</c:formatCode>
                <c:ptCount val="111"/>
                <c:pt idx="0">
                  <c:v>1013.25</c:v>
                </c:pt>
                <c:pt idx="1">
                  <c:v>1001.2963668583966</c:v>
                </c:pt>
                <c:pt idx="2">
                  <c:v>989.45717620672986</c:v>
                </c:pt>
                <c:pt idx="3">
                  <c:v>977.73158799424095</c:v>
                </c:pt>
                <c:pt idx="4">
                  <c:v>966.11876645171969</c:v>
                </c:pt>
                <c:pt idx="5">
                  <c:v>954.61788007933478</c:v>
                </c:pt>
                <c:pt idx="6">
                  <c:v>943.22810163446445</c:v>
                </c:pt>
                <c:pt idx="7">
                  <c:v>931.94860811954084</c:v>
                </c:pt>
                <c:pt idx="8">
                  <c:v>920.77858076989821</c:v>
                </c:pt>
                <c:pt idx="9">
                  <c:v>909.71720504162829</c:v>
                </c:pt>
                <c:pt idx="10">
                  <c:v>898.7636705994438</c:v>
                </c:pt>
                <c:pt idx="11">
                  <c:v>887.91717130454788</c:v>
                </c:pt>
                <c:pt idx="12">
                  <c:v>877.17690520251165</c:v>
                </c:pt>
                <c:pt idx="13">
                  <c:v>866.54207451115929</c:v>
                </c:pt>
                <c:pt idx="14">
                  <c:v>856.01188560845731</c:v>
                </c:pt>
                <c:pt idx="15">
                  <c:v>845.58554902041487</c:v>
                </c:pt>
                <c:pt idx="16">
                  <c:v>835.26227940898934</c:v>
                </c:pt>
                <c:pt idx="17">
                  <c:v>825.04129555999839</c:v>
                </c:pt>
                <c:pt idx="18">
                  <c:v>814.92182037104135</c:v>
                </c:pt>
                <c:pt idx="19">
                  <c:v>804.90308083942534</c:v>
                </c:pt>
                <c:pt idx="20">
                  <c:v>794.98430805010037</c:v>
                </c:pt>
                <c:pt idx="21">
                  <c:v>785.16473716360224</c:v>
                </c:pt>
                <c:pt idx="22">
                  <c:v>775.44360740399907</c:v>
                </c:pt>
                <c:pt idx="23">
                  <c:v>765.82016204684942</c:v>
                </c:pt>
                <c:pt idx="24">
                  <c:v>756.29364840716585</c:v>
                </c:pt>
                <c:pt idx="25">
                  <c:v>746.86331782738466</c:v>
                </c:pt>
                <c:pt idx="26">
                  <c:v>737.52842566534525</c:v>
                </c:pt>
                <c:pt idx="27">
                  <c:v>728.28823128227475</c:v>
                </c:pt>
                <c:pt idx="28">
                  <c:v>719.14199803078043</c:v>
                </c:pt>
                <c:pt idx="29">
                  <c:v>710.08899324285233</c:v>
                </c:pt>
                <c:pt idx="30">
                  <c:v>701.1284882178669</c:v>
                </c:pt>
                <c:pt idx="31">
                  <c:v>692.25975821060422</c:v>
                </c:pt>
                <c:pt idx="32">
                  <c:v>683.48208241927023</c:v>
                </c:pt>
                <c:pt idx="33">
                  <c:v>674.7947439735251</c:v>
                </c:pt>
                <c:pt idx="34">
                  <c:v>666.1970299225211</c:v>
                </c:pt>
                <c:pt idx="35">
                  <c:v>657.68823122294702</c:v>
                </c:pt>
                <c:pt idx="36">
                  <c:v>649.26764272707942</c:v>
                </c:pt>
                <c:pt idx="37">
                  <c:v>640.93456317084167</c:v>
                </c:pt>
                <c:pt idx="38">
                  <c:v>632.68829516187293</c:v>
                </c:pt>
                <c:pt idx="39">
                  <c:v>624.52814516759872</c:v>
                </c:pt>
                <c:pt idx="40">
                  <c:v>616.45342350331555</c:v>
                </c:pt>
                <c:pt idx="41">
                  <c:v>608.46344432027843</c:v>
                </c:pt>
                <c:pt idx="42">
                  <c:v>600.55752559379835</c:v>
                </c:pt>
                <c:pt idx="43">
                  <c:v>592.73498911134629</c:v>
                </c:pt>
                <c:pt idx="44">
                  <c:v>584.99516046066447</c:v>
                </c:pt>
                <c:pt idx="45">
                  <c:v>577.337369017887</c:v>
                </c:pt>
                <c:pt idx="46">
                  <c:v>569.76094793566494</c:v>
                </c:pt>
                <c:pt idx="47">
                  <c:v>562.26523413130178</c:v>
                </c:pt>
                <c:pt idx="48">
                  <c:v>554.84956827489532</c:v>
                </c:pt>
                <c:pt idx="49">
                  <c:v>547.5132947774872</c:v>
                </c:pt>
                <c:pt idx="50">
                  <c:v>540.25576177922039</c:v>
                </c:pt>
                <c:pt idx="51">
                  <c:v>533.07632113750367</c:v>
                </c:pt>
                <c:pt idx="52">
                  <c:v>525.97432841518446</c:v>
                </c:pt>
                <c:pt idx="53">
                  <c:v>518.94914286872893</c:v>
                </c:pt>
                <c:pt idx="54">
                  <c:v>512.00012743641037</c:v>
                </c:pt>
                <c:pt idx="55">
                  <c:v>505.1266487265039</c:v>
                </c:pt>
                <c:pt idx="56">
                  <c:v>498.32807700549012</c:v>
                </c:pt>
                <c:pt idx="57">
                  <c:v>491.60378618626652</c:v>
                </c:pt>
                <c:pt idx="58">
                  <c:v>484.95315381636556</c:v>
                </c:pt>
                <c:pt idx="59">
                  <c:v>478.37556106618172</c:v>
                </c:pt>
                <c:pt idx="60">
                  <c:v>471.87039271720613</c:v>
                </c:pt>
                <c:pt idx="61">
                  <c:v>465.43703715026749</c:v>
                </c:pt>
                <c:pt idx="62">
                  <c:v>459.07488633378256</c:v>
                </c:pt>
                <c:pt idx="63">
                  <c:v>452.78333581201429</c:v>
                </c:pt>
                <c:pt idx="64">
                  <c:v>446.56178469333639</c:v>
                </c:pt>
                <c:pt idx="65">
                  <c:v>440.4096356385075</c:v>
                </c:pt>
                <c:pt idx="66">
                  <c:v>434.32629484895199</c:v>
                </c:pt>
                <c:pt idx="67">
                  <c:v>428.31117205504921</c:v>
                </c:pt>
                <c:pt idx="68">
                  <c:v>422.36368050443031</c:v>
                </c:pt>
                <c:pt idx="69">
                  <c:v>416.4832369502829</c:v>
                </c:pt>
                <c:pt idx="70">
                  <c:v>410.66926163966519</c:v>
                </c:pt>
                <c:pt idx="71">
                  <c:v>404.92117830182474</c:v>
                </c:pt>
                <c:pt idx="72">
                  <c:v>399.23841413652855</c:v>
                </c:pt>
                <c:pt idx="73">
                  <c:v>393.62039980239905</c:v>
                </c:pt>
                <c:pt idx="74">
                  <c:v>388.06656940525954</c:v>
                </c:pt>
                <c:pt idx="75">
                  <c:v>382.57636048648567</c:v>
                </c:pt>
                <c:pt idx="76">
                  <c:v>377.14921401136769</c:v>
                </c:pt>
                <c:pt idx="77">
                  <c:v>371.7845743574776</c:v>
                </c:pt>
                <c:pt idx="78">
                  <c:v>366.48188930304656</c:v>
                </c:pt>
                <c:pt idx="79">
                  <c:v>361.24061001535011</c:v>
                </c:pt>
                <c:pt idx="80">
                  <c:v>356.0601910391004</c:v>
                </c:pt>
                <c:pt idx="81">
                  <c:v>350.94009028484771</c:v>
                </c:pt>
                <c:pt idx="82">
                  <c:v>345.87976901738926</c:v>
                </c:pt>
                <c:pt idx="83">
                  <c:v>340.87869184418651</c:v>
                </c:pt>
                <c:pt idx="84">
                  <c:v>335.936326703791</c:v>
                </c:pt>
                <c:pt idx="85">
                  <c:v>331.05214485427672</c:v>
                </c:pt>
                <c:pt idx="86">
                  <c:v>326.22562086168398</c:v>
                </c:pt>
                <c:pt idx="87">
                  <c:v>321.45623258846706</c:v>
                </c:pt>
                <c:pt idx="88">
                  <c:v>316.74346118195399</c:v>
                </c:pt>
                <c:pt idx="89">
                  <c:v>312.08679106281193</c:v>
                </c:pt>
                <c:pt idx="90">
                  <c:v>307.48570991352238</c:v>
                </c:pt>
                <c:pt idx="91">
                  <c:v>302.93970866686465</c:v>
                </c:pt>
                <c:pt idx="92">
                  <c:v>298.44828149440576</c:v>
                </c:pt>
                <c:pt idx="93">
                  <c:v>294.01092579500073</c:v>
                </c:pt>
                <c:pt idx="94">
                  <c:v>289.62714218330063</c:v>
                </c:pt>
                <c:pt idx="95">
                  <c:v>285.29643447826817</c:v>
                </c:pt>
                <c:pt idx="96">
                  <c:v>281.0183096917026</c:v>
                </c:pt>
                <c:pt idx="97">
                  <c:v>276.79227801677251</c:v>
                </c:pt>
                <c:pt idx="98">
                  <c:v>272.61785281655739</c:v>
                </c:pt>
                <c:pt idx="99">
                  <c:v>268.49455061259681</c:v>
                </c:pt>
                <c:pt idx="100">
                  <c:v>264.42189107344888</c:v>
                </c:pt>
                <c:pt idx="101">
                  <c:v>260.39939700325738</c:v>
                </c:pt>
                <c:pt idx="102">
                  <c:v>256.42659433032497</c:v>
                </c:pt>
                <c:pt idx="103">
                  <c:v>252.50301209569969</c:v>
                </c:pt>
                <c:pt idx="104">
                  <c:v>248.62818244176401</c:v>
                </c:pt>
                <c:pt idx="105">
                  <c:v>244.80164060083709</c:v>
                </c:pt>
                <c:pt idx="106">
                  <c:v>241.0229248837835</c:v>
                </c:pt>
                <c:pt idx="107">
                  <c:v>237.29157666863063</c:v>
                </c:pt>
                <c:pt idx="108">
                  <c:v>233.60714038919559</c:v>
                </c:pt>
                <c:pt idx="109">
                  <c:v>229.96916352371915</c:v>
                </c:pt>
                <c:pt idx="110">
                  <c:v>226.37719658350963</c:v>
                </c:pt>
              </c:numCache>
            </c:numRef>
          </c:xVal>
          <c:yVal>
            <c:numRef>
              <c:f>'Daten Auswertung'!$BW$28:$BW$138</c:f>
              <c:numCache>
                <c:formatCode>General</c:formatCode>
                <c:ptCount val="1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06016"/>
        <c:axId val="80407936"/>
      </c:scatterChart>
      <c:valAx>
        <c:axId val="80406016"/>
        <c:scaling>
          <c:orientation val="minMax"/>
          <c:max val="1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de-DE" sz="1400" b="0"/>
                  <a:t>hPa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0407936"/>
        <c:crosses val="autoZero"/>
        <c:crossBetween val="midCat"/>
        <c:majorUnit val="50"/>
      </c:valAx>
      <c:valAx>
        <c:axId val="80407936"/>
        <c:scaling>
          <c:orientation val="minMax"/>
          <c:max val="1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de-DE" sz="1400" b="0"/>
                  <a:t>Höhe über NN (m)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0406016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Relative Feuchte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'Daten Auswertung'!$AY$28:$AY$159</c:f>
              <c:numCache>
                <c:formatCode>0</c:formatCode>
                <c:ptCount val="132"/>
                <c:pt idx="0">
                  <c:v>83</c:v>
                </c:pt>
                <c:pt idx="1">
                  <c:v>83</c:v>
                </c:pt>
                <c:pt idx="2">
                  <c:v>85</c:v>
                </c:pt>
                <c:pt idx="3">
                  <c:v>94</c:v>
                </c:pt>
                <c:pt idx="4">
                  <c:v>99</c:v>
                </c:pt>
                <c:pt idx="5">
                  <c:v>96</c:v>
                </c:pt>
                <c:pt idx="6">
                  <c:v>95</c:v>
                </c:pt>
                <c:pt idx="7">
                  <c:v>96</c:v>
                </c:pt>
                <c:pt idx="8">
                  <c:v>98</c:v>
                </c:pt>
                <c:pt idx="9">
                  <c:v>94</c:v>
                </c:pt>
                <c:pt idx="10">
                  <c:v>86</c:v>
                </c:pt>
                <c:pt idx="11">
                  <c:v>87</c:v>
                </c:pt>
                <c:pt idx="12">
                  <c:v>78</c:v>
                </c:pt>
                <c:pt idx="13">
                  <c:v>49</c:v>
                </c:pt>
                <c:pt idx="14">
                  <c:v>48</c:v>
                </c:pt>
                <c:pt idx="15">
                  <c:v>39</c:v>
                </c:pt>
                <c:pt idx="16">
                  <c:v>38</c:v>
                </c:pt>
                <c:pt idx="17">
                  <c:v>27</c:v>
                </c:pt>
                <c:pt idx="18">
                  <c:v>33</c:v>
                </c:pt>
                <c:pt idx="19">
                  <c:v>16</c:v>
                </c:pt>
                <c:pt idx="20">
                  <c:v>11</c:v>
                </c:pt>
                <c:pt idx="21">
                  <c:v>16</c:v>
                </c:pt>
                <c:pt idx="22">
                  <c:v>19</c:v>
                </c:pt>
                <c:pt idx="23">
                  <c:v>20</c:v>
                </c:pt>
                <c:pt idx="24">
                  <c:v>44</c:v>
                </c:pt>
                <c:pt idx="25">
                  <c:v>53</c:v>
                </c:pt>
                <c:pt idx="26">
                  <c:v>37</c:v>
                </c:pt>
                <c:pt idx="27">
                  <c:v>26</c:v>
                </c:pt>
                <c:pt idx="28">
                  <c:v>25</c:v>
                </c:pt>
                <c:pt idx="29">
                  <c:v>17</c:v>
                </c:pt>
                <c:pt idx="30">
                  <c:v>12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17</c:v>
                </c:pt>
                <c:pt idx="39">
                  <c:v>54</c:v>
                </c:pt>
                <c:pt idx="40">
                  <c:v>66</c:v>
                </c:pt>
                <c:pt idx="41">
                  <c:v>66</c:v>
                </c:pt>
                <c:pt idx="42">
                  <c:v>69</c:v>
                </c:pt>
                <c:pt idx="43">
                  <c:v>69</c:v>
                </c:pt>
                <c:pt idx="44">
                  <c:v>27</c:v>
                </c:pt>
                <c:pt idx="45">
                  <c:v>56</c:v>
                </c:pt>
                <c:pt idx="46">
                  <c:v>59</c:v>
                </c:pt>
                <c:pt idx="47">
                  <c:v>66</c:v>
                </c:pt>
                <c:pt idx="48">
                  <c:v>74</c:v>
                </c:pt>
                <c:pt idx="49">
                  <c:v>24</c:v>
                </c:pt>
                <c:pt idx="50">
                  <c:v>20</c:v>
                </c:pt>
                <c:pt idx="51">
                  <c:v>11</c:v>
                </c:pt>
                <c:pt idx="52">
                  <c:v>19</c:v>
                </c:pt>
                <c:pt idx="53">
                  <c:v>32</c:v>
                </c:pt>
                <c:pt idx="54">
                  <c:v>43</c:v>
                </c:pt>
                <c:pt idx="55">
                  <c:v>52</c:v>
                </c:pt>
                <c:pt idx="56">
                  <c:v>37</c:v>
                </c:pt>
                <c:pt idx="57">
                  <c:v>19</c:v>
                </c:pt>
                <c:pt idx="58">
                  <c:v>21</c:v>
                </c:pt>
                <c:pt idx="59">
                  <c:v>26</c:v>
                </c:pt>
                <c:pt idx="60">
                  <c:v>26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27</c:v>
                </c:pt>
                <c:pt idx="65">
                  <c:v>30</c:v>
                </c:pt>
                <c:pt idx="66">
                  <c:v>18</c:v>
                </c:pt>
                <c:pt idx="67">
                  <c:v>13</c:v>
                </c:pt>
                <c:pt idx="68">
                  <c:v>6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Auswertung'!$AZ$28:$AZ$159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28640"/>
        <c:axId val="83730432"/>
      </c:scatterChart>
      <c:valAx>
        <c:axId val="83728640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crossAx val="83730432"/>
        <c:crosses val="autoZero"/>
        <c:crossBetween val="midCat"/>
      </c:valAx>
      <c:valAx>
        <c:axId val="83730432"/>
        <c:scaling>
          <c:orientation val="minMax"/>
          <c:max val="300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3728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Sättigungsmischungsverhältnis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'Daten Auswertung'!$BG$28:$BG$159</c:f>
              <c:numCache>
                <c:formatCode>0.00</c:formatCode>
                <c:ptCount val="132"/>
                <c:pt idx="0">
                  <c:v>20.23</c:v>
                </c:pt>
                <c:pt idx="1">
                  <c:v>20.18</c:v>
                </c:pt>
                <c:pt idx="2">
                  <c:v>19.690000000000001</c:v>
                </c:pt>
                <c:pt idx="3">
                  <c:v>19.12</c:v>
                </c:pt>
                <c:pt idx="4">
                  <c:v>18.850000000000001</c:v>
                </c:pt>
                <c:pt idx="5">
                  <c:v>17.38</c:v>
                </c:pt>
                <c:pt idx="6">
                  <c:v>16.61</c:v>
                </c:pt>
                <c:pt idx="7">
                  <c:v>16.23</c:v>
                </c:pt>
                <c:pt idx="8">
                  <c:v>15.82</c:v>
                </c:pt>
                <c:pt idx="9">
                  <c:v>14.78</c:v>
                </c:pt>
                <c:pt idx="10">
                  <c:v>12.86</c:v>
                </c:pt>
                <c:pt idx="11">
                  <c:v>12.97</c:v>
                </c:pt>
                <c:pt idx="12">
                  <c:v>11.57</c:v>
                </c:pt>
                <c:pt idx="13">
                  <c:v>7.62</c:v>
                </c:pt>
                <c:pt idx="14">
                  <c:v>7.55</c:v>
                </c:pt>
                <c:pt idx="15">
                  <c:v>5.64</c:v>
                </c:pt>
                <c:pt idx="16">
                  <c:v>5.5</c:v>
                </c:pt>
                <c:pt idx="17">
                  <c:v>2.87</c:v>
                </c:pt>
                <c:pt idx="18">
                  <c:v>2.96</c:v>
                </c:pt>
                <c:pt idx="19">
                  <c:v>1.22</c:v>
                </c:pt>
                <c:pt idx="20">
                  <c:v>0.78</c:v>
                </c:pt>
                <c:pt idx="21">
                  <c:v>1.07</c:v>
                </c:pt>
                <c:pt idx="22">
                  <c:v>1.29</c:v>
                </c:pt>
                <c:pt idx="23">
                  <c:v>1.35</c:v>
                </c:pt>
                <c:pt idx="24">
                  <c:v>2.36</c:v>
                </c:pt>
                <c:pt idx="25">
                  <c:v>2.69</c:v>
                </c:pt>
                <c:pt idx="26">
                  <c:v>1.81</c:v>
                </c:pt>
                <c:pt idx="27">
                  <c:v>1.19</c:v>
                </c:pt>
                <c:pt idx="28">
                  <c:v>1.1399999999999999</c:v>
                </c:pt>
                <c:pt idx="29">
                  <c:v>0.77</c:v>
                </c:pt>
                <c:pt idx="30">
                  <c:v>0.41</c:v>
                </c:pt>
                <c:pt idx="31">
                  <c:v>0.2</c:v>
                </c:pt>
                <c:pt idx="32">
                  <c:v>0.15</c:v>
                </c:pt>
                <c:pt idx="33">
                  <c:v>0.1</c:v>
                </c:pt>
                <c:pt idx="34">
                  <c:v>7.0000000000000007E-2</c:v>
                </c:pt>
                <c:pt idx="35">
                  <c:v>0.06</c:v>
                </c:pt>
                <c:pt idx="36">
                  <c:v>0.06</c:v>
                </c:pt>
                <c:pt idx="37">
                  <c:v>7.0000000000000007E-2</c:v>
                </c:pt>
                <c:pt idx="38">
                  <c:v>0.12</c:v>
                </c:pt>
                <c:pt idx="39">
                  <c:v>0.24</c:v>
                </c:pt>
                <c:pt idx="40">
                  <c:v>0.27</c:v>
                </c:pt>
                <c:pt idx="41">
                  <c:v>0.27</c:v>
                </c:pt>
                <c:pt idx="42">
                  <c:v>0.24</c:v>
                </c:pt>
                <c:pt idx="43">
                  <c:v>0.24</c:v>
                </c:pt>
                <c:pt idx="44">
                  <c:v>0.06</c:v>
                </c:pt>
                <c:pt idx="45">
                  <c:v>0.11</c:v>
                </c:pt>
                <c:pt idx="46">
                  <c:v>0.1</c:v>
                </c:pt>
                <c:pt idx="47">
                  <c:v>0.09</c:v>
                </c:pt>
                <c:pt idx="48">
                  <c:v>0.09</c:v>
                </c:pt>
                <c:pt idx="49">
                  <c:v>0.02</c:v>
                </c:pt>
                <c:pt idx="50">
                  <c:v>0.02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Auswertung'!$BH$28:$BH$159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37984"/>
        <c:axId val="87385216"/>
      </c:scatterChart>
      <c:valAx>
        <c:axId val="83737984"/>
        <c:scaling>
          <c:orientation val="minMax"/>
          <c:max val="3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87385216"/>
        <c:crosses val="autoZero"/>
        <c:crossBetween val="midCat"/>
      </c:valAx>
      <c:valAx>
        <c:axId val="87385216"/>
        <c:scaling>
          <c:orientation val="minMax"/>
          <c:max val="300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3737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Windrichtung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'Daten Auswertung'!$BJ$28:$BJ$159</c:f>
              <c:numCache>
                <c:formatCode>0</c:formatCode>
                <c:ptCount val="132"/>
                <c:pt idx="0">
                  <c:v>305</c:v>
                </c:pt>
                <c:pt idx="1">
                  <c:v>105</c:v>
                </c:pt>
                <c:pt idx="2">
                  <c:v>105</c:v>
                </c:pt>
                <c:pt idx="3">
                  <c:v>125</c:v>
                </c:pt>
                <c:pt idx="4">
                  <c:v>132</c:v>
                </c:pt>
                <c:pt idx="5">
                  <c:v>145</c:v>
                </c:pt>
                <c:pt idx="6">
                  <c:v>170</c:v>
                </c:pt>
                <c:pt idx="7">
                  <c:v>180</c:v>
                </c:pt>
                <c:pt idx="8">
                  <c:v>184</c:v>
                </c:pt>
                <c:pt idx="9">
                  <c:v>190</c:v>
                </c:pt>
                <c:pt idx="10">
                  <c:v>155</c:v>
                </c:pt>
                <c:pt idx="11">
                  <c:v>150</c:v>
                </c:pt>
                <c:pt idx="12">
                  <c:v>155</c:v>
                </c:pt>
                <c:pt idx="13">
                  <c:v>159</c:v>
                </c:pt>
                <c:pt idx="14">
                  <c:v>160</c:v>
                </c:pt>
                <c:pt idx="15">
                  <c:v>173</c:v>
                </c:pt>
                <c:pt idx="16">
                  <c:v>175</c:v>
                </c:pt>
                <c:pt idx="17">
                  <c:v>155</c:v>
                </c:pt>
                <c:pt idx="18">
                  <c:v>153</c:v>
                </c:pt>
                <c:pt idx="19">
                  <c:v>150</c:v>
                </c:pt>
                <c:pt idx="20">
                  <c:v>138</c:v>
                </c:pt>
                <c:pt idx="21">
                  <c:v>130</c:v>
                </c:pt>
                <c:pt idx="22">
                  <c:v>100</c:v>
                </c:pt>
                <c:pt idx="23">
                  <c:v>98</c:v>
                </c:pt>
                <c:pt idx="24">
                  <c:v>65</c:v>
                </c:pt>
                <c:pt idx="25">
                  <c:v>80</c:v>
                </c:pt>
                <c:pt idx="26">
                  <c:v>65</c:v>
                </c:pt>
                <c:pt idx="27">
                  <c:v>85</c:v>
                </c:pt>
                <c:pt idx="28">
                  <c:v>85</c:v>
                </c:pt>
                <c:pt idx="29">
                  <c:v>82</c:v>
                </c:pt>
                <c:pt idx="30">
                  <c:v>71</c:v>
                </c:pt>
                <c:pt idx="31">
                  <c:v>65</c:v>
                </c:pt>
                <c:pt idx="32">
                  <c:v>65</c:v>
                </c:pt>
                <c:pt idx="33">
                  <c:v>70</c:v>
                </c:pt>
                <c:pt idx="34">
                  <c:v>85</c:v>
                </c:pt>
                <c:pt idx="35">
                  <c:v>105</c:v>
                </c:pt>
                <c:pt idx="36">
                  <c:v>100</c:v>
                </c:pt>
                <c:pt idx="37">
                  <c:v>100</c:v>
                </c:pt>
                <c:pt idx="38">
                  <c:v>90</c:v>
                </c:pt>
                <c:pt idx="39">
                  <c:v>75</c:v>
                </c:pt>
                <c:pt idx="40">
                  <c:v>65</c:v>
                </c:pt>
                <c:pt idx="41">
                  <c:v>65</c:v>
                </c:pt>
                <c:pt idx="42">
                  <c:v>50</c:v>
                </c:pt>
                <c:pt idx="43">
                  <c:v>50</c:v>
                </c:pt>
                <c:pt idx="44">
                  <c:v>62</c:v>
                </c:pt>
                <c:pt idx="45">
                  <c:v>63</c:v>
                </c:pt>
                <c:pt idx="46">
                  <c:v>65</c:v>
                </c:pt>
                <c:pt idx="47">
                  <c:v>70</c:v>
                </c:pt>
                <c:pt idx="48">
                  <c:v>74</c:v>
                </c:pt>
                <c:pt idx="49">
                  <c:v>84</c:v>
                </c:pt>
                <c:pt idx="50">
                  <c:v>85</c:v>
                </c:pt>
                <c:pt idx="51">
                  <c:v>89</c:v>
                </c:pt>
                <c:pt idx="52">
                  <c:v>105</c:v>
                </c:pt>
                <c:pt idx="53">
                  <c:v>105</c:v>
                </c:pt>
                <c:pt idx="54">
                  <c:v>115</c:v>
                </c:pt>
                <c:pt idx="55">
                  <c:v>117</c:v>
                </c:pt>
                <c:pt idx="56">
                  <c:v>120</c:v>
                </c:pt>
                <c:pt idx="57">
                  <c:v>103</c:v>
                </c:pt>
                <c:pt idx="58">
                  <c:v>100</c:v>
                </c:pt>
                <c:pt idx="59">
                  <c:v>80</c:v>
                </c:pt>
                <c:pt idx="60">
                  <c:v>85</c:v>
                </c:pt>
                <c:pt idx="61">
                  <c:v>100</c:v>
                </c:pt>
                <c:pt idx="62">
                  <c:v>105</c:v>
                </c:pt>
                <c:pt idx="63">
                  <c:v>205</c:v>
                </c:pt>
                <c:pt idx="64">
                  <c:v>35</c:v>
                </c:pt>
                <c:pt idx="65">
                  <c:v>78</c:v>
                </c:pt>
                <c:pt idx="66">
                  <c:v>95</c:v>
                </c:pt>
                <c:pt idx="67">
                  <c:v>100</c:v>
                </c:pt>
                <c:pt idx="68">
                  <c:v>102</c:v>
                </c:pt>
                <c:pt idx="69">
                  <c:v>105</c:v>
                </c:pt>
                <c:pt idx="70">
                  <c:v>100</c:v>
                </c:pt>
                <c:pt idx="71">
                  <c:v>90</c:v>
                </c:pt>
                <c:pt idx="72">
                  <c:v>100</c:v>
                </c:pt>
                <c:pt idx="73">
                  <c:v>118</c:v>
                </c:pt>
                <c:pt idx="74">
                  <c:v>125</c:v>
                </c:pt>
                <c:pt idx="75">
                  <c:v>185</c:v>
                </c:pt>
                <c:pt idx="76">
                  <c:v>200</c:v>
                </c:pt>
                <c:pt idx="77">
                  <c:v>245</c:v>
                </c:pt>
                <c:pt idx="78">
                  <c:v>290</c:v>
                </c:pt>
                <c:pt idx="79">
                  <c:v>300</c:v>
                </c:pt>
                <c:pt idx="80">
                  <c:v>300</c:v>
                </c:pt>
                <c:pt idx="81">
                  <c:v>295</c:v>
                </c:pt>
                <c:pt idx="82">
                  <c:v>265</c:v>
                </c:pt>
                <c:pt idx="83">
                  <c:v>270</c:v>
                </c:pt>
                <c:pt idx="84">
                  <c:v>290</c:v>
                </c:pt>
                <c:pt idx="85">
                  <c:v>315</c:v>
                </c:pt>
                <c:pt idx="86">
                  <c:v>298</c:v>
                </c:pt>
                <c:pt idx="87">
                  <c:v>290</c:v>
                </c:pt>
                <c:pt idx="88">
                  <c:v>295</c:v>
                </c:pt>
                <c:pt idx="89">
                  <c:v>225</c:v>
                </c:pt>
                <c:pt idx="90">
                  <c:v>244</c:v>
                </c:pt>
                <c:pt idx="91">
                  <c:v>250</c:v>
                </c:pt>
                <c:pt idx="92">
                  <c:v>240</c:v>
                </c:pt>
                <c:pt idx="93">
                  <c:v>265</c:v>
                </c:pt>
                <c:pt idx="94">
                  <c:v>300</c:v>
                </c:pt>
                <c:pt idx="95">
                  <c:v>290</c:v>
                </c:pt>
                <c:pt idx="96">
                  <c:v>355</c:v>
                </c:pt>
                <c:pt idx="97">
                  <c:v>7</c:v>
                </c:pt>
                <c:pt idx="98">
                  <c:v>40</c:v>
                </c:pt>
                <c:pt idx="99">
                  <c:v>60</c:v>
                </c:pt>
                <c:pt idx="100">
                  <c:v>115</c:v>
                </c:pt>
                <c:pt idx="101">
                  <c:v>119</c:v>
                </c:pt>
                <c:pt idx="102">
                  <c:v>125</c:v>
                </c:pt>
                <c:pt idx="103">
                  <c:v>95</c:v>
                </c:pt>
                <c:pt idx="104">
                  <c:v>83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Auswertung'!$BK$28:$BK$159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09408"/>
        <c:axId val="87410944"/>
      </c:scatterChart>
      <c:valAx>
        <c:axId val="87409408"/>
        <c:scaling>
          <c:orientation val="minMax"/>
          <c:max val="4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crossAx val="87410944"/>
        <c:crosses val="autoZero"/>
        <c:crossBetween val="midCat"/>
        <c:majorUnit val="30"/>
      </c:valAx>
      <c:valAx>
        <c:axId val="87410944"/>
        <c:scaling>
          <c:orientation val="minMax"/>
          <c:max val="300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740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Windstärke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'Daten Auswertung'!$BM$28:$BM$159</c:f>
              <c:numCache>
                <c:formatCode>0</c:formatCode>
                <c:ptCount val="132"/>
                <c:pt idx="0">
                  <c:v>7.4080000000000004</c:v>
                </c:pt>
                <c:pt idx="1">
                  <c:v>3.7040000000000002</c:v>
                </c:pt>
                <c:pt idx="2">
                  <c:v>5.556</c:v>
                </c:pt>
                <c:pt idx="3">
                  <c:v>18.52</c:v>
                </c:pt>
                <c:pt idx="4">
                  <c:v>18.52</c:v>
                </c:pt>
                <c:pt idx="5">
                  <c:v>20.372</c:v>
                </c:pt>
                <c:pt idx="6">
                  <c:v>14.816000000000001</c:v>
                </c:pt>
                <c:pt idx="7">
                  <c:v>18.52</c:v>
                </c:pt>
                <c:pt idx="8">
                  <c:v>18.52</c:v>
                </c:pt>
                <c:pt idx="9">
                  <c:v>20.372</c:v>
                </c:pt>
                <c:pt idx="10">
                  <c:v>22.224</c:v>
                </c:pt>
                <c:pt idx="11">
                  <c:v>22.224</c:v>
                </c:pt>
                <c:pt idx="12">
                  <c:v>24.076000000000001</c:v>
                </c:pt>
                <c:pt idx="13">
                  <c:v>25.928000000000001</c:v>
                </c:pt>
                <c:pt idx="14">
                  <c:v>25.928000000000001</c:v>
                </c:pt>
                <c:pt idx="15">
                  <c:v>20.372</c:v>
                </c:pt>
                <c:pt idx="16">
                  <c:v>18.52</c:v>
                </c:pt>
                <c:pt idx="17">
                  <c:v>25.928000000000001</c:v>
                </c:pt>
                <c:pt idx="18">
                  <c:v>18.52</c:v>
                </c:pt>
                <c:pt idx="19">
                  <c:v>7.4080000000000004</c:v>
                </c:pt>
                <c:pt idx="20">
                  <c:v>14.816000000000001</c:v>
                </c:pt>
                <c:pt idx="21">
                  <c:v>18.52</c:v>
                </c:pt>
                <c:pt idx="22">
                  <c:v>24.076000000000001</c:v>
                </c:pt>
                <c:pt idx="23">
                  <c:v>24.076000000000001</c:v>
                </c:pt>
                <c:pt idx="24">
                  <c:v>18.52</c:v>
                </c:pt>
                <c:pt idx="25">
                  <c:v>20.372</c:v>
                </c:pt>
                <c:pt idx="26">
                  <c:v>24.076000000000001</c:v>
                </c:pt>
                <c:pt idx="27">
                  <c:v>35.188000000000002</c:v>
                </c:pt>
                <c:pt idx="28">
                  <c:v>35.188000000000002</c:v>
                </c:pt>
                <c:pt idx="29">
                  <c:v>35.188000000000002</c:v>
                </c:pt>
                <c:pt idx="30">
                  <c:v>38.892000000000003</c:v>
                </c:pt>
                <c:pt idx="31">
                  <c:v>40.744</c:v>
                </c:pt>
                <c:pt idx="32">
                  <c:v>42.596000000000004</c:v>
                </c:pt>
                <c:pt idx="33">
                  <c:v>42.596000000000004</c:v>
                </c:pt>
                <c:pt idx="34">
                  <c:v>51.856000000000002</c:v>
                </c:pt>
                <c:pt idx="35">
                  <c:v>64.820000000000007</c:v>
                </c:pt>
                <c:pt idx="36">
                  <c:v>70.376000000000005</c:v>
                </c:pt>
                <c:pt idx="37">
                  <c:v>70.376000000000005</c:v>
                </c:pt>
                <c:pt idx="38">
                  <c:v>77.784000000000006</c:v>
                </c:pt>
                <c:pt idx="39">
                  <c:v>64.820000000000007</c:v>
                </c:pt>
                <c:pt idx="40">
                  <c:v>53.708000000000006</c:v>
                </c:pt>
                <c:pt idx="41">
                  <c:v>53.708000000000006</c:v>
                </c:pt>
                <c:pt idx="42">
                  <c:v>59.264000000000003</c:v>
                </c:pt>
                <c:pt idx="43">
                  <c:v>59.264000000000003</c:v>
                </c:pt>
                <c:pt idx="44">
                  <c:v>70.376000000000005</c:v>
                </c:pt>
                <c:pt idx="45">
                  <c:v>70.376000000000005</c:v>
                </c:pt>
                <c:pt idx="46">
                  <c:v>74.08</c:v>
                </c:pt>
                <c:pt idx="47">
                  <c:v>77.784000000000006</c:v>
                </c:pt>
                <c:pt idx="48">
                  <c:v>81.488</c:v>
                </c:pt>
                <c:pt idx="49">
                  <c:v>94.451999999999998</c:v>
                </c:pt>
                <c:pt idx="50">
                  <c:v>96.304000000000002</c:v>
                </c:pt>
                <c:pt idx="51">
                  <c:v>94.451999999999998</c:v>
                </c:pt>
                <c:pt idx="52">
                  <c:v>85.192000000000007</c:v>
                </c:pt>
                <c:pt idx="53">
                  <c:v>79.63600000000001</c:v>
                </c:pt>
                <c:pt idx="54">
                  <c:v>68.524000000000001</c:v>
                </c:pt>
                <c:pt idx="55">
                  <c:v>81.488</c:v>
                </c:pt>
                <c:pt idx="56">
                  <c:v>96.304000000000002</c:v>
                </c:pt>
                <c:pt idx="57">
                  <c:v>64.820000000000007</c:v>
                </c:pt>
                <c:pt idx="58">
                  <c:v>59.264000000000003</c:v>
                </c:pt>
                <c:pt idx="59">
                  <c:v>72.228000000000009</c:v>
                </c:pt>
                <c:pt idx="60">
                  <c:v>68.524000000000001</c:v>
                </c:pt>
                <c:pt idx="61">
                  <c:v>40.744</c:v>
                </c:pt>
                <c:pt idx="62">
                  <c:v>18.52</c:v>
                </c:pt>
                <c:pt idx="63">
                  <c:v>1.8520000000000001</c:v>
                </c:pt>
                <c:pt idx="64">
                  <c:v>18.52</c:v>
                </c:pt>
                <c:pt idx="65">
                  <c:v>18.52</c:v>
                </c:pt>
                <c:pt idx="66">
                  <c:v>18.52</c:v>
                </c:pt>
                <c:pt idx="67">
                  <c:v>25.928000000000001</c:v>
                </c:pt>
                <c:pt idx="68">
                  <c:v>27.78</c:v>
                </c:pt>
                <c:pt idx="69">
                  <c:v>33.335999999999999</c:v>
                </c:pt>
                <c:pt idx="70">
                  <c:v>38.892000000000003</c:v>
                </c:pt>
                <c:pt idx="71">
                  <c:v>37.04</c:v>
                </c:pt>
                <c:pt idx="72">
                  <c:v>31.484000000000002</c:v>
                </c:pt>
                <c:pt idx="73">
                  <c:v>22.224</c:v>
                </c:pt>
                <c:pt idx="74">
                  <c:v>18.52</c:v>
                </c:pt>
                <c:pt idx="75">
                  <c:v>7.4080000000000004</c:v>
                </c:pt>
                <c:pt idx="76">
                  <c:v>3.7040000000000002</c:v>
                </c:pt>
                <c:pt idx="77">
                  <c:v>18.52</c:v>
                </c:pt>
                <c:pt idx="78">
                  <c:v>31.484000000000002</c:v>
                </c:pt>
                <c:pt idx="79">
                  <c:v>48.152000000000001</c:v>
                </c:pt>
                <c:pt idx="80">
                  <c:v>46.300000000000004</c:v>
                </c:pt>
                <c:pt idx="81">
                  <c:v>44.448</c:v>
                </c:pt>
                <c:pt idx="82">
                  <c:v>61.116</c:v>
                </c:pt>
                <c:pt idx="83">
                  <c:v>62.968000000000004</c:v>
                </c:pt>
                <c:pt idx="84">
                  <c:v>74.08</c:v>
                </c:pt>
                <c:pt idx="85">
                  <c:v>51.856000000000002</c:v>
                </c:pt>
                <c:pt idx="86">
                  <c:v>51.856000000000002</c:v>
                </c:pt>
                <c:pt idx="87">
                  <c:v>51.856000000000002</c:v>
                </c:pt>
                <c:pt idx="88">
                  <c:v>20.372</c:v>
                </c:pt>
                <c:pt idx="89">
                  <c:v>24.076000000000001</c:v>
                </c:pt>
                <c:pt idx="90">
                  <c:v>44.448</c:v>
                </c:pt>
                <c:pt idx="91">
                  <c:v>51.856000000000002</c:v>
                </c:pt>
                <c:pt idx="92">
                  <c:v>57.412000000000006</c:v>
                </c:pt>
                <c:pt idx="93">
                  <c:v>35.188000000000002</c:v>
                </c:pt>
                <c:pt idx="94">
                  <c:v>29.632000000000001</c:v>
                </c:pt>
                <c:pt idx="95">
                  <c:v>14.816000000000001</c:v>
                </c:pt>
                <c:pt idx="96">
                  <c:v>27.78</c:v>
                </c:pt>
                <c:pt idx="97">
                  <c:v>35.188000000000002</c:v>
                </c:pt>
                <c:pt idx="98">
                  <c:v>55.56</c:v>
                </c:pt>
                <c:pt idx="99">
                  <c:v>68.524000000000001</c:v>
                </c:pt>
                <c:pt idx="100">
                  <c:v>75.932000000000002</c:v>
                </c:pt>
                <c:pt idx="101">
                  <c:v>68.524000000000001</c:v>
                </c:pt>
                <c:pt idx="102">
                  <c:v>59.264000000000003</c:v>
                </c:pt>
                <c:pt idx="103">
                  <c:v>46.300000000000004</c:v>
                </c:pt>
                <c:pt idx="104">
                  <c:v>55.56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Auswertung'!$BN$28:$BN$159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13888"/>
        <c:axId val="93015424"/>
      </c:scatterChart>
      <c:valAx>
        <c:axId val="93013888"/>
        <c:scaling>
          <c:orientation val="minMax"/>
          <c:max val="2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crossAx val="93015424"/>
        <c:crosses val="autoZero"/>
        <c:crossBetween val="midCat"/>
      </c:valAx>
      <c:valAx>
        <c:axId val="93015424"/>
        <c:scaling>
          <c:orientation val="minMax"/>
          <c:max val="300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013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Spread (Taupunktdifferenz)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'Daten Auswertung'!$BD$28:$BD$159</c:f>
              <c:numCache>
                <c:formatCode>0.0</c:formatCode>
                <c:ptCount val="132"/>
                <c:pt idx="0">
                  <c:v>3.1999999999999993</c:v>
                </c:pt>
                <c:pt idx="1">
                  <c:v>3.2000000000000028</c:v>
                </c:pt>
                <c:pt idx="2">
                  <c:v>2.8000000000000007</c:v>
                </c:pt>
                <c:pt idx="3">
                  <c:v>1.1000000000000014</c:v>
                </c:pt>
                <c:pt idx="4">
                  <c:v>0.19999999999999929</c:v>
                </c:pt>
                <c:pt idx="5">
                  <c:v>0.59999999999999787</c:v>
                </c:pt>
                <c:pt idx="6">
                  <c:v>0.80000000000000071</c:v>
                </c:pt>
                <c:pt idx="7">
                  <c:v>0.59999999999999787</c:v>
                </c:pt>
                <c:pt idx="8">
                  <c:v>0.40000000000000213</c:v>
                </c:pt>
                <c:pt idx="9">
                  <c:v>1.0999999999999979</c:v>
                </c:pt>
                <c:pt idx="10">
                  <c:v>2.2999999999999989</c:v>
                </c:pt>
                <c:pt idx="11">
                  <c:v>2.1999999999999993</c:v>
                </c:pt>
                <c:pt idx="12">
                  <c:v>3.8999999999999986</c:v>
                </c:pt>
                <c:pt idx="13">
                  <c:v>11</c:v>
                </c:pt>
                <c:pt idx="14">
                  <c:v>11.099999999999998</c:v>
                </c:pt>
                <c:pt idx="15">
                  <c:v>14</c:v>
                </c:pt>
                <c:pt idx="16">
                  <c:v>14.1</c:v>
                </c:pt>
                <c:pt idx="17">
                  <c:v>18</c:v>
                </c:pt>
                <c:pt idx="18">
                  <c:v>15</c:v>
                </c:pt>
                <c:pt idx="19">
                  <c:v>23.2</c:v>
                </c:pt>
                <c:pt idx="20">
                  <c:v>27</c:v>
                </c:pt>
                <c:pt idx="21">
                  <c:v>23</c:v>
                </c:pt>
                <c:pt idx="22">
                  <c:v>20.6</c:v>
                </c:pt>
                <c:pt idx="23">
                  <c:v>20</c:v>
                </c:pt>
                <c:pt idx="24">
                  <c:v>10.3</c:v>
                </c:pt>
                <c:pt idx="25">
                  <c:v>8</c:v>
                </c:pt>
                <c:pt idx="26">
                  <c:v>12.3</c:v>
                </c:pt>
                <c:pt idx="27">
                  <c:v>16.600000000000001</c:v>
                </c:pt>
                <c:pt idx="28">
                  <c:v>17</c:v>
                </c:pt>
                <c:pt idx="29">
                  <c:v>21</c:v>
                </c:pt>
                <c:pt idx="30">
                  <c:v>24</c:v>
                </c:pt>
                <c:pt idx="31">
                  <c:v>29.7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31.199999999999996</c:v>
                </c:pt>
                <c:pt idx="36">
                  <c:v>28</c:v>
                </c:pt>
                <c:pt idx="37">
                  <c:v>26</c:v>
                </c:pt>
                <c:pt idx="38">
                  <c:v>16.800000000000004</c:v>
                </c:pt>
                <c:pt idx="39">
                  <c:v>5.8000000000000043</c:v>
                </c:pt>
                <c:pt idx="40">
                  <c:v>3.9000000000000057</c:v>
                </c:pt>
                <c:pt idx="41">
                  <c:v>3.8999999999999986</c:v>
                </c:pt>
                <c:pt idx="42">
                  <c:v>3.5</c:v>
                </c:pt>
                <c:pt idx="43">
                  <c:v>3.4000000000000057</c:v>
                </c:pt>
                <c:pt idx="44">
                  <c:v>11</c:v>
                </c:pt>
                <c:pt idx="45">
                  <c:v>5</c:v>
                </c:pt>
                <c:pt idx="46">
                  <c:v>4.5</c:v>
                </c:pt>
                <c:pt idx="47">
                  <c:v>3.3999999999999986</c:v>
                </c:pt>
                <c:pt idx="48">
                  <c:v>2.5</c:v>
                </c:pt>
                <c:pt idx="49">
                  <c:v>10.999999999999993</c:v>
                </c:pt>
                <c:pt idx="50">
                  <c:v>11.999999999999993</c:v>
                </c:pt>
                <c:pt idx="51">
                  <c:v>16</c:v>
                </c:pt>
                <c:pt idx="52">
                  <c:v>11.899999999999999</c:v>
                </c:pt>
                <c:pt idx="53">
                  <c:v>8</c:v>
                </c:pt>
                <c:pt idx="54">
                  <c:v>5.6000000000000085</c:v>
                </c:pt>
                <c:pt idx="55">
                  <c:v>4.2000000000000028</c:v>
                </c:pt>
                <c:pt idx="56">
                  <c:v>6.2999999999999972</c:v>
                </c:pt>
                <c:pt idx="57">
                  <c:v>10</c:v>
                </c:pt>
                <c:pt idx="58">
                  <c:v>9.5999999999999943</c:v>
                </c:pt>
                <c:pt idx="59">
                  <c:v>8.2999999999999972</c:v>
                </c:pt>
                <c:pt idx="60">
                  <c:v>8</c:v>
                </c:pt>
                <c:pt idx="61">
                  <c:v>9</c:v>
                </c:pt>
                <c:pt idx="62">
                  <c:v>8.7999999999999972</c:v>
                </c:pt>
                <c:pt idx="63">
                  <c:v>8.5999999999999943</c:v>
                </c:pt>
                <c:pt idx="64">
                  <c:v>7.7000000000000028</c:v>
                </c:pt>
                <c:pt idx="65">
                  <c:v>7</c:v>
                </c:pt>
                <c:pt idx="66">
                  <c:v>10</c:v>
                </c:pt>
                <c:pt idx="67">
                  <c:v>12.200000000000003</c:v>
                </c:pt>
                <c:pt idx="68">
                  <c:v>17</c:v>
                </c:pt>
                <c:pt idx="69">
                  <c:v>19.700000000000003</c:v>
                </c:pt>
                <c:pt idx="70">
                  <c:v>20.5</c:v>
                </c:pt>
                <c:pt idx="71">
                  <c:v>21.299999999999997</c:v>
                </c:pt>
                <c:pt idx="72">
                  <c:v>22</c:v>
                </c:pt>
                <c:pt idx="73">
                  <c:v>28</c:v>
                </c:pt>
                <c:pt idx="74">
                  <c:v>27.5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27.200000000000003</c:v>
                </c:pt>
                <c:pt idx="82">
                  <c:v>28.399999999999991</c:v>
                </c:pt>
                <c:pt idx="83">
                  <c:v>28.999999999999993</c:v>
                </c:pt>
                <c:pt idx="84">
                  <c:v>28.100000000000009</c:v>
                </c:pt>
                <c:pt idx="85">
                  <c:v>27.299999999999997</c:v>
                </c:pt>
                <c:pt idx="86">
                  <c:v>27</c:v>
                </c:pt>
                <c:pt idx="87">
                  <c:v>27.800000000000011</c:v>
                </c:pt>
                <c:pt idx="88">
                  <c:v>29</c:v>
                </c:pt>
                <c:pt idx="89">
                  <c:v>30.100000000000009</c:v>
                </c:pt>
                <c:pt idx="90">
                  <c:v>31</c:v>
                </c:pt>
                <c:pt idx="91">
                  <c:v>30.9</c:v>
                </c:pt>
                <c:pt idx="92">
                  <c:v>30.5</c:v>
                </c:pt>
                <c:pt idx="93">
                  <c:v>29.999999999999993</c:v>
                </c:pt>
                <c:pt idx="94">
                  <c:v>29.599999999999994</c:v>
                </c:pt>
                <c:pt idx="95">
                  <c:v>29</c:v>
                </c:pt>
                <c:pt idx="96">
                  <c:v>28.299999999999997</c:v>
                </c:pt>
                <c:pt idx="97">
                  <c:v>28</c:v>
                </c:pt>
                <c:pt idx="98">
                  <c:v>30</c:v>
                </c:pt>
                <c:pt idx="99">
                  <c:v>31.700000000000003</c:v>
                </c:pt>
                <c:pt idx="100">
                  <c:v>34.699999999999996</c:v>
                </c:pt>
                <c:pt idx="101">
                  <c:v>36</c:v>
                </c:pt>
                <c:pt idx="102">
                  <c:v>35.199999999999996</c:v>
                </c:pt>
                <c:pt idx="103">
                  <c:v>33.9</c:v>
                </c:pt>
                <c:pt idx="104">
                  <c:v>33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Auswertung'!$BE$28:$BE$159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35520"/>
        <c:axId val="93037312"/>
      </c:scatterChart>
      <c:valAx>
        <c:axId val="93035520"/>
        <c:scaling>
          <c:orientation val="minMax"/>
          <c:max val="5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93037312"/>
        <c:crosses val="autoZero"/>
        <c:crossBetween val="midCat"/>
      </c:valAx>
      <c:valAx>
        <c:axId val="93037312"/>
        <c:scaling>
          <c:orientation val="minMax"/>
          <c:max val="300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035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Temperatur (Standdardatmosphäre)</a:t>
            </a:r>
            <a:r>
              <a:rPr lang="de-DE" b="0" baseline="0"/>
              <a:t> </a:t>
            </a:r>
            <a:endParaRPr lang="de-DE" b="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423840769903762"/>
          <c:y val="0.19491907261592301"/>
          <c:w val="0.83061570428696418"/>
          <c:h val="0.6891010498687664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'Daten Auswertung'!$BR$28:$BR$159</c:f>
              <c:numCache>
                <c:formatCode>0.0</c:formatCode>
                <c:ptCount val="132"/>
                <c:pt idx="0">
                  <c:v>28</c:v>
                </c:pt>
                <c:pt idx="1">
                  <c:v>27.35</c:v>
                </c:pt>
                <c:pt idx="2">
                  <c:v>26.7</c:v>
                </c:pt>
                <c:pt idx="3">
                  <c:v>26.05</c:v>
                </c:pt>
                <c:pt idx="4">
                  <c:v>25.4</c:v>
                </c:pt>
                <c:pt idx="5">
                  <c:v>24.75</c:v>
                </c:pt>
                <c:pt idx="6">
                  <c:v>24.1</c:v>
                </c:pt>
                <c:pt idx="7">
                  <c:v>23.45</c:v>
                </c:pt>
                <c:pt idx="8">
                  <c:v>22.8</c:v>
                </c:pt>
                <c:pt idx="9">
                  <c:v>22.15</c:v>
                </c:pt>
                <c:pt idx="10">
                  <c:v>21.5</c:v>
                </c:pt>
                <c:pt idx="11">
                  <c:v>20.85</c:v>
                </c:pt>
                <c:pt idx="12">
                  <c:v>20.2</c:v>
                </c:pt>
                <c:pt idx="13">
                  <c:v>19.55</c:v>
                </c:pt>
                <c:pt idx="14">
                  <c:v>18.899999999999999</c:v>
                </c:pt>
                <c:pt idx="15">
                  <c:v>18.25</c:v>
                </c:pt>
                <c:pt idx="16">
                  <c:v>17.600000000000001</c:v>
                </c:pt>
                <c:pt idx="17">
                  <c:v>16.950000000000003</c:v>
                </c:pt>
                <c:pt idx="18">
                  <c:v>16.3</c:v>
                </c:pt>
                <c:pt idx="19">
                  <c:v>15.65</c:v>
                </c:pt>
                <c:pt idx="20">
                  <c:v>15</c:v>
                </c:pt>
                <c:pt idx="21">
                  <c:v>14.350000000000001</c:v>
                </c:pt>
                <c:pt idx="22">
                  <c:v>13.700000000000001</c:v>
                </c:pt>
                <c:pt idx="23">
                  <c:v>13.05</c:v>
                </c:pt>
                <c:pt idx="24">
                  <c:v>12.4</c:v>
                </c:pt>
                <c:pt idx="25">
                  <c:v>11.75</c:v>
                </c:pt>
                <c:pt idx="26">
                  <c:v>11.100000000000001</c:v>
                </c:pt>
                <c:pt idx="27">
                  <c:v>10.45</c:v>
                </c:pt>
                <c:pt idx="28">
                  <c:v>9.8000000000000007</c:v>
                </c:pt>
                <c:pt idx="29">
                  <c:v>9.1500000000000021</c:v>
                </c:pt>
                <c:pt idx="30">
                  <c:v>8.5</c:v>
                </c:pt>
                <c:pt idx="31">
                  <c:v>7.8500000000000014</c:v>
                </c:pt>
                <c:pt idx="32">
                  <c:v>7.1999999999999993</c:v>
                </c:pt>
                <c:pt idx="33">
                  <c:v>6.5500000000000007</c:v>
                </c:pt>
                <c:pt idx="34">
                  <c:v>5.9000000000000021</c:v>
                </c:pt>
                <c:pt idx="35">
                  <c:v>5.25</c:v>
                </c:pt>
                <c:pt idx="36">
                  <c:v>4.6000000000000014</c:v>
                </c:pt>
                <c:pt idx="37">
                  <c:v>3.9500000000000028</c:v>
                </c:pt>
                <c:pt idx="38">
                  <c:v>3.3000000000000007</c:v>
                </c:pt>
                <c:pt idx="39">
                  <c:v>2.6500000000000021</c:v>
                </c:pt>
                <c:pt idx="40">
                  <c:v>2</c:v>
                </c:pt>
                <c:pt idx="41">
                  <c:v>1.3500000000000014</c:v>
                </c:pt>
                <c:pt idx="42">
                  <c:v>0.70000000000000284</c:v>
                </c:pt>
                <c:pt idx="43">
                  <c:v>5.0000000000000711E-2</c:v>
                </c:pt>
                <c:pt idx="44">
                  <c:v>-0.59999999999999787</c:v>
                </c:pt>
                <c:pt idx="45">
                  <c:v>-1.25</c:v>
                </c:pt>
                <c:pt idx="46">
                  <c:v>-1.8999999999999986</c:v>
                </c:pt>
                <c:pt idx="47">
                  <c:v>-2.5499999999999972</c:v>
                </c:pt>
                <c:pt idx="48">
                  <c:v>-3.1999999999999993</c:v>
                </c:pt>
                <c:pt idx="49">
                  <c:v>-3.8499999999999979</c:v>
                </c:pt>
                <c:pt idx="50">
                  <c:v>-4.5</c:v>
                </c:pt>
                <c:pt idx="51">
                  <c:v>-5.1499999999999986</c:v>
                </c:pt>
                <c:pt idx="52">
                  <c:v>-5.7999999999999972</c:v>
                </c:pt>
                <c:pt idx="53">
                  <c:v>-6.4499999999999957</c:v>
                </c:pt>
                <c:pt idx="54">
                  <c:v>-7.1000000000000014</c:v>
                </c:pt>
                <c:pt idx="55">
                  <c:v>-7.75</c:v>
                </c:pt>
                <c:pt idx="56">
                  <c:v>-8.3999999999999986</c:v>
                </c:pt>
                <c:pt idx="57">
                  <c:v>-9.0499999999999972</c:v>
                </c:pt>
                <c:pt idx="58">
                  <c:v>-9.6999999999999957</c:v>
                </c:pt>
                <c:pt idx="59">
                  <c:v>-10.350000000000001</c:v>
                </c:pt>
                <c:pt idx="60">
                  <c:v>-11</c:v>
                </c:pt>
                <c:pt idx="61">
                  <c:v>-11.649999999999999</c:v>
                </c:pt>
                <c:pt idx="62">
                  <c:v>-12.299999999999997</c:v>
                </c:pt>
                <c:pt idx="63">
                  <c:v>-12.949999999999996</c:v>
                </c:pt>
                <c:pt idx="64">
                  <c:v>-13.600000000000001</c:v>
                </c:pt>
                <c:pt idx="65">
                  <c:v>-14.25</c:v>
                </c:pt>
                <c:pt idx="66">
                  <c:v>-14.899999999999999</c:v>
                </c:pt>
                <c:pt idx="67">
                  <c:v>-15.549999999999997</c:v>
                </c:pt>
                <c:pt idx="68">
                  <c:v>-16.199999999999996</c:v>
                </c:pt>
                <c:pt idx="69">
                  <c:v>-16.850000000000001</c:v>
                </c:pt>
                <c:pt idx="70">
                  <c:v>-17.5</c:v>
                </c:pt>
                <c:pt idx="71">
                  <c:v>-18.149999999999999</c:v>
                </c:pt>
                <c:pt idx="72">
                  <c:v>-18.799999999999997</c:v>
                </c:pt>
                <c:pt idx="73">
                  <c:v>-19.449999999999996</c:v>
                </c:pt>
                <c:pt idx="74">
                  <c:v>-20.099999999999994</c:v>
                </c:pt>
                <c:pt idx="75">
                  <c:v>-20.75</c:v>
                </c:pt>
                <c:pt idx="76">
                  <c:v>-21.4</c:v>
                </c:pt>
                <c:pt idx="77">
                  <c:v>-22.049999999999997</c:v>
                </c:pt>
                <c:pt idx="78">
                  <c:v>-22.699999999999996</c:v>
                </c:pt>
                <c:pt idx="79">
                  <c:v>-23.349999999999994</c:v>
                </c:pt>
                <c:pt idx="80">
                  <c:v>-24</c:v>
                </c:pt>
                <c:pt idx="81">
                  <c:v>-24.65</c:v>
                </c:pt>
                <c:pt idx="82">
                  <c:v>-25.299999999999997</c:v>
                </c:pt>
                <c:pt idx="83">
                  <c:v>-25.949999999999996</c:v>
                </c:pt>
                <c:pt idx="84">
                  <c:v>-26.599999999999994</c:v>
                </c:pt>
                <c:pt idx="85">
                  <c:v>-27.25</c:v>
                </c:pt>
                <c:pt idx="86">
                  <c:v>-27.9</c:v>
                </c:pt>
                <c:pt idx="87">
                  <c:v>-28.549999999999997</c:v>
                </c:pt>
                <c:pt idx="88">
                  <c:v>-29.199999999999996</c:v>
                </c:pt>
                <c:pt idx="89">
                  <c:v>-29.849999999999994</c:v>
                </c:pt>
                <c:pt idx="90">
                  <c:v>-30.5</c:v>
                </c:pt>
                <c:pt idx="91">
                  <c:v>-31.15</c:v>
                </c:pt>
                <c:pt idx="92">
                  <c:v>-31.799999999999997</c:v>
                </c:pt>
                <c:pt idx="93">
                  <c:v>-32.449999999999996</c:v>
                </c:pt>
                <c:pt idx="94">
                  <c:v>-33.099999999999994</c:v>
                </c:pt>
                <c:pt idx="95">
                  <c:v>-33.75</c:v>
                </c:pt>
                <c:pt idx="96">
                  <c:v>-34.4</c:v>
                </c:pt>
                <c:pt idx="97">
                  <c:v>-35.049999999999997</c:v>
                </c:pt>
                <c:pt idx="98">
                  <c:v>-35.699999999999996</c:v>
                </c:pt>
                <c:pt idx="99">
                  <c:v>-36.349999999999994</c:v>
                </c:pt>
                <c:pt idx="100">
                  <c:v>-37</c:v>
                </c:pt>
                <c:pt idx="101">
                  <c:v>-37.649999999999991</c:v>
                </c:pt>
                <c:pt idx="102">
                  <c:v>-38.299999999999997</c:v>
                </c:pt>
                <c:pt idx="103">
                  <c:v>-38.950000000000003</c:v>
                </c:pt>
                <c:pt idx="104">
                  <c:v>-39.599999999999994</c:v>
                </c:pt>
                <c:pt idx="105">
                  <c:v>-40.25</c:v>
                </c:pt>
                <c:pt idx="106">
                  <c:v>-40.899999999999991</c:v>
                </c:pt>
                <c:pt idx="107">
                  <c:v>-41.55</c:v>
                </c:pt>
                <c:pt idx="108">
                  <c:v>-42.2</c:v>
                </c:pt>
                <c:pt idx="109">
                  <c:v>-42.849999999999994</c:v>
                </c:pt>
                <c:pt idx="110">
                  <c:v>-43.5</c:v>
                </c:pt>
              </c:numCache>
            </c:numRef>
          </c:xVal>
          <c:yVal>
            <c:numRef>
              <c:f>'Daten Auswertung'!$BS$28:$BS$159</c:f>
              <c:numCache>
                <c:formatCode>General</c:formatCode>
                <c:ptCount val="132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77888"/>
        <c:axId val="93079424"/>
      </c:scatterChart>
      <c:valAx>
        <c:axId val="93077888"/>
        <c:scaling>
          <c:orientation val="minMax"/>
          <c:max val="50"/>
          <c:min val="-100"/>
        </c:scaling>
        <c:delete val="0"/>
        <c:axPos val="b"/>
        <c:numFmt formatCode="0" sourceLinked="0"/>
        <c:majorTickMark val="out"/>
        <c:minorTickMark val="none"/>
        <c:tickLblPos val="nextTo"/>
        <c:crossAx val="93079424"/>
        <c:crosses val="autoZero"/>
        <c:crossBetween val="midCat"/>
        <c:majorUnit val="10"/>
      </c:valAx>
      <c:valAx>
        <c:axId val="93079424"/>
        <c:scaling>
          <c:orientation val="minMax"/>
          <c:max val="1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93077888"/>
        <c:crosses val="autoZero"/>
        <c:crossBetween val="midCat"/>
        <c:majorUnit val="1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Luftdruck (Standardatmosphäre)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423840769903762"/>
          <c:y val="0.16714129483814524"/>
          <c:w val="0.82703937007874018"/>
          <c:h val="0.71687882764654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'Daten Auswertung'!$BV$28:$BV$138</c:f>
              <c:numCache>
                <c:formatCode>0</c:formatCode>
                <c:ptCount val="111"/>
                <c:pt idx="0">
                  <c:v>1013.25</c:v>
                </c:pt>
                <c:pt idx="1">
                  <c:v>1001.2963668583966</c:v>
                </c:pt>
                <c:pt idx="2">
                  <c:v>989.45717620672986</c:v>
                </c:pt>
                <c:pt idx="3">
                  <c:v>977.73158799424095</c:v>
                </c:pt>
                <c:pt idx="4">
                  <c:v>966.11876645171969</c:v>
                </c:pt>
                <c:pt idx="5">
                  <c:v>954.61788007933478</c:v>
                </c:pt>
                <c:pt idx="6">
                  <c:v>943.22810163446445</c:v>
                </c:pt>
                <c:pt idx="7">
                  <c:v>931.94860811954084</c:v>
                </c:pt>
                <c:pt idx="8">
                  <c:v>920.77858076989821</c:v>
                </c:pt>
                <c:pt idx="9">
                  <c:v>909.71720504162829</c:v>
                </c:pt>
                <c:pt idx="10">
                  <c:v>898.7636705994438</c:v>
                </c:pt>
                <c:pt idx="11">
                  <c:v>887.91717130454788</c:v>
                </c:pt>
                <c:pt idx="12">
                  <c:v>877.17690520251165</c:v>
                </c:pt>
                <c:pt idx="13">
                  <c:v>866.54207451115929</c:v>
                </c:pt>
                <c:pt idx="14">
                  <c:v>856.01188560845731</c:v>
                </c:pt>
                <c:pt idx="15">
                  <c:v>845.58554902041487</c:v>
                </c:pt>
                <c:pt idx="16">
                  <c:v>835.26227940898934</c:v>
                </c:pt>
                <c:pt idx="17">
                  <c:v>825.04129555999839</c:v>
                </c:pt>
                <c:pt idx="18">
                  <c:v>814.92182037104135</c:v>
                </c:pt>
                <c:pt idx="19">
                  <c:v>804.90308083942534</c:v>
                </c:pt>
                <c:pt idx="20">
                  <c:v>794.98430805010037</c:v>
                </c:pt>
                <c:pt idx="21">
                  <c:v>785.16473716360224</c:v>
                </c:pt>
                <c:pt idx="22">
                  <c:v>775.44360740399907</c:v>
                </c:pt>
                <c:pt idx="23">
                  <c:v>765.82016204684942</c:v>
                </c:pt>
                <c:pt idx="24">
                  <c:v>756.29364840716585</c:v>
                </c:pt>
                <c:pt idx="25">
                  <c:v>746.86331782738466</c:v>
                </c:pt>
                <c:pt idx="26">
                  <c:v>737.52842566534525</c:v>
                </c:pt>
                <c:pt idx="27">
                  <c:v>728.28823128227475</c:v>
                </c:pt>
                <c:pt idx="28">
                  <c:v>719.14199803078043</c:v>
                </c:pt>
                <c:pt idx="29">
                  <c:v>710.08899324285233</c:v>
                </c:pt>
                <c:pt idx="30">
                  <c:v>701.1284882178669</c:v>
                </c:pt>
                <c:pt idx="31">
                  <c:v>692.25975821060422</c:v>
                </c:pt>
                <c:pt idx="32">
                  <c:v>683.48208241927023</c:v>
                </c:pt>
                <c:pt idx="33">
                  <c:v>674.7947439735251</c:v>
                </c:pt>
                <c:pt idx="34">
                  <c:v>666.1970299225211</c:v>
                </c:pt>
                <c:pt idx="35">
                  <c:v>657.68823122294702</c:v>
                </c:pt>
                <c:pt idx="36">
                  <c:v>649.26764272707942</c:v>
                </c:pt>
                <c:pt idx="37">
                  <c:v>640.93456317084167</c:v>
                </c:pt>
                <c:pt idx="38">
                  <c:v>632.68829516187293</c:v>
                </c:pt>
                <c:pt idx="39">
                  <c:v>624.52814516759872</c:v>
                </c:pt>
                <c:pt idx="40">
                  <c:v>616.45342350331555</c:v>
                </c:pt>
                <c:pt idx="41">
                  <c:v>608.46344432027843</c:v>
                </c:pt>
                <c:pt idx="42">
                  <c:v>600.55752559379835</c:v>
                </c:pt>
                <c:pt idx="43">
                  <c:v>592.73498911134629</c:v>
                </c:pt>
                <c:pt idx="44">
                  <c:v>584.99516046066447</c:v>
                </c:pt>
                <c:pt idx="45">
                  <c:v>577.337369017887</c:v>
                </c:pt>
                <c:pt idx="46">
                  <c:v>569.76094793566494</c:v>
                </c:pt>
                <c:pt idx="47">
                  <c:v>562.26523413130178</c:v>
                </c:pt>
                <c:pt idx="48">
                  <c:v>554.84956827489532</c:v>
                </c:pt>
                <c:pt idx="49">
                  <c:v>547.5132947774872</c:v>
                </c:pt>
                <c:pt idx="50">
                  <c:v>540.25576177922039</c:v>
                </c:pt>
                <c:pt idx="51">
                  <c:v>533.07632113750367</c:v>
                </c:pt>
                <c:pt idx="52">
                  <c:v>525.97432841518446</c:v>
                </c:pt>
                <c:pt idx="53">
                  <c:v>518.94914286872893</c:v>
                </c:pt>
                <c:pt idx="54">
                  <c:v>512.00012743641037</c:v>
                </c:pt>
                <c:pt idx="55">
                  <c:v>505.1266487265039</c:v>
                </c:pt>
                <c:pt idx="56">
                  <c:v>498.32807700549012</c:v>
                </c:pt>
                <c:pt idx="57">
                  <c:v>491.60378618626652</c:v>
                </c:pt>
                <c:pt idx="58">
                  <c:v>484.95315381636556</c:v>
                </c:pt>
                <c:pt idx="59">
                  <c:v>478.37556106618172</c:v>
                </c:pt>
                <c:pt idx="60">
                  <c:v>471.87039271720613</c:v>
                </c:pt>
                <c:pt idx="61">
                  <c:v>465.43703715026749</c:v>
                </c:pt>
                <c:pt idx="62">
                  <c:v>459.07488633378256</c:v>
                </c:pt>
                <c:pt idx="63">
                  <c:v>452.78333581201429</c:v>
                </c:pt>
                <c:pt idx="64">
                  <c:v>446.56178469333639</c:v>
                </c:pt>
                <c:pt idx="65">
                  <c:v>440.4096356385075</c:v>
                </c:pt>
                <c:pt idx="66">
                  <c:v>434.32629484895199</c:v>
                </c:pt>
                <c:pt idx="67">
                  <c:v>428.31117205504921</c:v>
                </c:pt>
                <c:pt idx="68">
                  <c:v>422.36368050443031</c:v>
                </c:pt>
                <c:pt idx="69">
                  <c:v>416.4832369502829</c:v>
                </c:pt>
                <c:pt idx="70">
                  <c:v>410.66926163966519</c:v>
                </c:pt>
                <c:pt idx="71">
                  <c:v>404.92117830182474</c:v>
                </c:pt>
                <c:pt idx="72">
                  <c:v>399.23841413652855</c:v>
                </c:pt>
                <c:pt idx="73">
                  <c:v>393.62039980239905</c:v>
                </c:pt>
                <c:pt idx="74">
                  <c:v>388.06656940525954</c:v>
                </c:pt>
                <c:pt idx="75">
                  <c:v>382.57636048648567</c:v>
                </c:pt>
                <c:pt idx="76">
                  <c:v>377.14921401136769</c:v>
                </c:pt>
                <c:pt idx="77">
                  <c:v>371.7845743574776</c:v>
                </c:pt>
                <c:pt idx="78">
                  <c:v>366.48188930304656</c:v>
                </c:pt>
                <c:pt idx="79">
                  <c:v>361.24061001535011</c:v>
                </c:pt>
                <c:pt idx="80">
                  <c:v>356.0601910391004</c:v>
                </c:pt>
                <c:pt idx="81">
                  <c:v>350.94009028484771</c:v>
                </c:pt>
                <c:pt idx="82">
                  <c:v>345.87976901738926</c:v>
                </c:pt>
                <c:pt idx="83">
                  <c:v>340.87869184418651</c:v>
                </c:pt>
                <c:pt idx="84">
                  <c:v>335.936326703791</c:v>
                </c:pt>
                <c:pt idx="85">
                  <c:v>331.05214485427672</c:v>
                </c:pt>
                <c:pt idx="86">
                  <c:v>326.22562086168398</c:v>
                </c:pt>
                <c:pt idx="87">
                  <c:v>321.45623258846706</c:v>
                </c:pt>
                <c:pt idx="88">
                  <c:v>316.74346118195399</c:v>
                </c:pt>
                <c:pt idx="89">
                  <c:v>312.08679106281193</c:v>
                </c:pt>
                <c:pt idx="90">
                  <c:v>307.48570991352238</c:v>
                </c:pt>
                <c:pt idx="91">
                  <c:v>302.93970866686465</c:v>
                </c:pt>
                <c:pt idx="92">
                  <c:v>298.44828149440576</c:v>
                </c:pt>
                <c:pt idx="93">
                  <c:v>294.01092579500073</c:v>
                </c:pt>
                <c:pt idx="94">
                  <c:v>289.62714218330063</c:v>
                </c:pt>
                <c:pt idx="95">
                  <c:v>285.29643447826817</c:v>
                </c:pt>
                <c:pt idx="96">
                  <c:v>281.0183096917026</c:v>
                </c:pt>
                <c:pt idx="97">
                  <c:v>276.79227801677251</c:v>
                </c:pt>
                <c:pt idx="98">
                  <c:v>272.61785281655739</c:v>
                </c:pt>
                <c:pt idx="99">
                  <c:v>268.49455061259681</c:v>
                </c:pt>
                <c:pt idx="100">
                  <c:v>264.42189107344888</c:v>
                </c:pt>
                <c:pt idx="101">
                  <c:v>260.39939700325738</c:v>
                </c:pt>
                <c:pt idx="102">
                  <c:v>256.42659433032497</c:v>
                </c:pt>
                <c:pt idx="103">
                  <c:v>252.50301209569969</c:v>
                </c:pt>
                <c:pt idx="104">
                  <c:v>248.62818244176401</c:v>
                </c:pt>
                <c:pt idx="105">
                  <c:v>244.80164060083709</c:v>
                </c:pt>
                <c:pt idx="106">
                  <c:v>241.0229248837835</c:v>
                </c:pt>
                <c:pt idx="107">
                  <c:v>237.29157666863063</c:v>
                </c:pt>
                <c:pt idx="108">
                  <c:v>233.60714038919559</c:v>
                </c:pt>
                <c:pt idx="109">
                  <c:v>229.96916352371915</c:v>
                </c:pt>
                <c:pt idx="110">
                  <c:v>226.37719658350963</c:v>
                </c:pt>
              </c:numCache>
            </c:numRef>
          </c:xVal>
          <c:yVal>
            <c:numRef>
              <c:f>'Daten Auswertung'!$BW$28:$BW$138</c:f>
              <c:numCache>
                <c:formatCode>General</c:formatCode>
                <c:ptCount val="1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20000"/>
        <c:axId val="93121536"/>
      </c:scatterChart>
      <c:valAx>
        <c:axId val="93120000"/>
        <c:scaling>
          <c:orientation val="minMax"/>
          <c:max val="1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crossAx val="93121536"/>
        <c:crosses val="autoZero"/>
        <c:crossBetween val="midCat"/>
      </c:valAx>
      <c:valAx>
        <c:axId val="93121536"/>
        <c:scaling>
          <c:orientation val="minMax"/>
          <c:max val="1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120000"/>
        <c:crosses val="autoZero"/>
        <c:crossBetween val="midCat"/>
        <c:majorUnit val="1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Luftdruck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'Daten Auswertung'!$AV$28:$AV$159</c:f>
              <c:numCache>
                <c:formatCode>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Auswertung'!$AW$28:$AW$159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67712"/>
        <c:axId val="94073600"/>
      </c:scatterChart>
      <c:valAx>
        <c:axId val="94067712"/>
        <c:scaling>
          <c:orientation val="minMax"/>
          <c:max val="1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crossAx val="94073600"/>
        <c:crosses val="autoZero"/>
        <c:crossBetween val="midCat"/>
      </c:valAx>
      <c:valAx>
        <c:axId val="94073600"/>
        <c:scaling>
          <c:orientation val="minMax"/>
          <c:max val="300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low"/>
        <c:crossAx val="94067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Druck und Temperatur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'Daten Auswertung'!$BZ$28:$BZ$159</c:f>
              <c:numCache>
                <c:formatCode>0.0</c:formatCode>
                <c:ptCount val="132"/>
                <c:pt idx="0">
                  <c:v>28.2</c:v>
                </c:pt>
                <c:pt idx="1">
                  <c:v>28.1</c:v>
                </c:pt>
                <c:pt idx="2">
                  <c:v>27.2</c:v>
                </c:pt>
                <c:pt idx="3">
                  <c:v>24.5</c:v>
                </c:pt>
                <c:pt idx="4">
                  <c:v>23.2</c:v>
                </c:pt>
                <c:pt idx="5">
                  <c:v>21.9</c:v>
                </c:pt>
                <c:pt idx="6">
                  <c:v>21.2</c:v>
                </c:pt>
                <c:pt idx="7">
                  <c:v>20.399999999999999</c:v>
                </c:pt>
                <c:pt idx="8">
                  <c:v>19.600000000000001</c:v>
                </c:pt>
                <c:pt idx="9">
                  <c:v>18.899999999999999</c:v>
                </c:pt>
                <c:pt idx="10">
                  <c:v>17.399999999999999</c:v>
                </c:pt>
                <c:pt idx="11">
                  <c:v>17.399999999999999</c:v>
                </c:pt>
                <c:pt idx="12">
                  <c:v>17.2</c:v>
                </c:pt>
                <c:pt idx="13">
                  <c:v>18</c:v>
                </c:pt>
                <c:pt idx="14">
                  <c:v>17.899999999999999</c:v>
                </c:pt>
                <c:pt idx="15">
                  <c:v>16.2</c:v>
                </c:pt>
                <c:pt idx="16">
                  <c:v>15.9</c:v>
                </c:pt>
                <c:pt idx="17">
                  <c:v>9.4</c:v>
                </c:pt>
                <c:pt idx="18">
                  <c:v>6</c:v>
                </c:pt>
                <c:pt idx="19">
                  <c:v>2.5</c:v>
                </c:pt>
                <c:pt idx="20">
                  <c:v>0.8</c:v>
                </c:pt>
                <c:pt idx="21">
                  <c:v>0.1</c:v>
                </c:pt>
                <c:pt idx="22">
                  <c:v>-0.4</c:v>
                </c:pt>
                <c:pt idx="23">
                  <c:v>-0.5</c:v>
                </c:pt>
                <c:pt idx="24">
                  <c:v>-4.2</c:v>
                </c:pt>
                <c:pt idx="25">
                  <c:v>-5.0999999999999996</c:v>
                </c:pt>
                <c:pt idx="26">
                  <c:v>-5.8</c:v>
                </c:pt>
                <c:pt idx="27">
                  <c:v>-6.6</c:v>
                </c:pt>
                <c:pt idx="28">
                  <c:v>-6.7</c:v>
                </c:pt>
                <c:pt idx="29">
                  <c:v>-7.3</c:v>
                </c:pt>
                <c:pt idx="30">
                  <c:v>-11.9</c:v>
                </c:pt>
                <c:pt idx="31">
                  <c:v>-13.8</c:v>
                </c:pt>
                <c:pt idx="32">
                  <c:v>-14.5</c:v>
                </c:pt>
                <c:pt idx="33">
                  <c:v>-17.100000000000001</c:v>
                </c:pt>
                <c:pt idx="34">
                  <c:v>-19.7</c:v>
                </c:pt>
                <c:pt idx="35">
                  <c:v>-24.1</c:v>
                </c:pt>
                <c:pt idx="36">
                  <c:v>-29.1</c:v>
                </c:pt>
                <c:pt idx="37">
                  <c:v>-29.5</c:v>
                </c:pt>
                <c:pt idx="38">
                  <c:v>-34.4</c:v>
                </c:pt>
                <c:pt idx="39">
                  <c:v>-40.299999999999997</c:v>
                </c:pt>
                <c:pt idx="40">
                  <c:v>-41.3</c:v>
                </c:pt>
                <c:pt idx="41">
                  <c:v>-41.5</c:v>
                </c:pt>
                <c:pt idx="42">
                  <c:v>-43</c:v>
                </c:pt>
                <c:pt idx="43">
                  <c:v>-43.3</c:v>
                </c:pt>
                <c:pt idx="44">
                  <c:v>-48.5</c:v>
                </c:pt>
                <c:pt idx="45">
                  <c:v>-49.3</c:v>
                </c:pt>
                <c:pt idx="46">
                  <c:v>-51.1</c:v>
                </c:pt>
                <c:pt idx="47">
                  <c:v>-53.5</c:v>
                </c:pt>
                <c:pt idx="48">
                  <c:v>-54.7</c:v>
                </c:pt>
                <c:pt idx="49">
                  <c:v>-57.1</c:v>
                </c:pt>
                <c:pt idx="50">
                  <c:v>-57.1</c:v>
                </c:pt>
                <c:pt idx="51">
                  <c:v>-57.3</c:v>
                </c:pt>
                <c:pt idx="52">
                  <c:v>-62.1</c:v>
                </c:pt>
                <c:pt idx="53">
                  <c:v>-66.7</c:v>
                </c:pt>
                <c:pt idx="54">
                  <c:v>-71.599999999999994</c:v>
                </c:pt>
                <c:pt idx="55">
                  <c:v>-74.5</c:v>
                </c:pt>
                <c:pt idx="56">
                  <c:v>-75.5</c:v>
                </c:pt>
                <c:pt idx="57">
                  <c:v>-77.099999999999994</c:v>
                </c:pt>
                <c:pt idx="58">
                  <c:v>-77.400000000000006</c:v>
                </c:pt>
                <c:pt idx="59">
                  <c:v>-78.3</c:v>
                </c:pt>
                <c:pt idx="60">
                  <c:v>-78.5</c:v>
                </c:pt>
                <c:pt idx="61">
                  <c:v>-77.900000000000006</c:v>
                </c:pt>
                <c:pt idx="62">
                  <c:v>-78.3</c:v>
                </c:pt>
                <c:pt idx="63">
                  <c:v>-78.7</c:v>
                </c:pt>
                <c:pt idx="64">
                  <c:v>-80.3</c:v>
                </c:pt>
                <c:pt idx="65">
                  <c:v>-81.7</c:v>
                </c:pt>
                <c:pt idx="66">
                  <c:v>-78.900000000000006</c:v>
                </c:pt>
                <c:pt idx="67">
                  <c:v>-77.2</c:v>
                </c:pt>
                <c:pt idx="68">
                  <c:v>-73.5</c:v>
                </c:pt>
                <c:pt idx="69">
                  <c:v>-72.099999999999994</c:v>
                </c:pt>
                <c:pt idx="70">
                  <c:v>-71.7</c:v>
                </c:pt>
                <c:pt idx="71">
                  <c:v>-71.3</c:v>
                </c:pt>
                <c:pt idx="72">
                  <c:v>-70.900000000000006</c:v>
                </c:pt>
                <c:pt idx="73">
                  <c:v>-65.900000000000006</c:v>
                </c:pt>
                <c:pt idx="74">
                  <c:v>-66.2</c:v>
                </c:pt>
                <c:pt idx="75">
                  <c:v>-67.099999999999994</c:v>
                </c:pt>
                <c:pt idx="76">
                  <c:v>-67</c:v>
                </c:pt>
                <c:pt idx="77">
                  <c:v>-66.8</c:v>
                </c:pt>
                <c:pt idx="78">
                  <c:v>-66.5</c:v>
                </c:pt>
                <c:pt idx="79">
                  <c:v>-66.099999999999994</c:v>
                </c:pt>
                <c:pt idx="80">
                  <c:v>-65.900000000000006</c:v>
                </c:pt>
                <c:pt idx="81">
                  <c:v>-64.8</c:v>
                </c:pt>
                <c:pt idx="82">
                  <c:v>-63.7</c:v>
                </c:pt>
                <c:pt idx="83">
                  <c:v>-63.1</c:v>
                </c:pt>
                <c:pt idx="84">
                  <c:v>-64.599999999999994</c:v>
                </c:pt>
                <c:pt idx="85">
                  <c:v>-65.8</c:v>
                </c:pt>
                <c:pt idx="86">
                  <c:v>-66.3</c:v>
                </c:pt>
                <c:pt idx="87">
                  <c:v>-65.599999999999994</c:v>
                </c:pt>
                <c:pt idx="88">
                  <c:v>-64.5</c:v>
                </c:pt>
                <c:pt idx="89">
                  <c:v>-62.8</c:v>
                </c:pt>
                <c:pt idx="90">
                  <c:v>-61.5</c:v>
                </c:pt>
                <c:pt idx="91">
                  <c:v>-61.6</c:v>
                </c:pt>
                <c:pt idx="92">
                  <c:v>-62</c:v>
                </c:pt>
                <c:pt idx="93">
                  <c:v>-62.6</c:v>
                </c:pt>
                <c:pt idx="94">
                  <c:v>-63</c:v>
                </c:pt>
                <c:pt idx="95">
                  <c:v>-63.7</c:v>
                </c:pt>
                <c:pt idx="96">
                  <c:v>-65</c:v>
                </c:pt>
                <c:pt idx="97">
                  <c:v>-65.5</c:v>
                </c:pt>
                <c:pt idx="98">
                  <c:v>-64.099999999999994</c:v>
                </c:pt>
                <c:pt idx="99">
                  <c:v>-61.3</c:v>
                </c:pt>
                <c:pt idx="100">
                  <c:v>-56.4</c:v>
                </c:pt>
                <c:pt idx="101">
                  <c:v>-54.3</c:v>
                </c:pt>
                <c:pt idx="102">
                  <c:v>-55.1</c:v>
                </c:pt>
                <c:pt idx="103">
                  <c:v>-56.4</c:v>
                </c:pt>
                <c:pt idx="104">
                  <c:v>-57.3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Auswertung'!$CA$28:$CA$159</c:f>
              <c:numCache>
                <c:formatCode>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97792"/>
        <c:axId val="94099328"/>
      </c:scatterChart>
      <c:valAx>
        <c:axId val="94097792"/>
        <c:scaling>
          <c:orientation val="minMax"/>
          <c:max val="50"/>
          <c:min val="-100"/>
        </c:scaling>
        <c:delete val="0"/>
        <c:axPos val="t"/>
        <c:numFmt formatCode="0" sourceLinked="0"/>
        <c:majorTickMark val="out"/>
        <c:minorTickMark val="none"/>
        <c:tickLblPos val="high"/>
        <c:crossAx val="94099328"/>
        <c:crosses val="autoZero"/>
        <c:crossBetween val="midCat"/>
      </c:valAx>
      <c:valAx>
        <c:axId val="94099328"/>
        <c:scaling>
          <c:orientation val="maxMin"/>
          <c:max val="1050"/>
          <c:min val="100"/>
        </c:scaling>
        <c:delete val="0"/>
        <c:axPos val="l"/>
        <c:majorGridlines/>
        <c:numFmt formatCode="0" sourceLinked="1"/>
        <c:majorTickMark val="out"/>
        <c:minorTickMark val="none"/>
        <c:tickLblPos val="low"/>
        <c:crossAx val="94097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Druck und Taupunkt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'Daten Auswertung'!$CB$28:$CB$159</c:f>
              <c:numCache>
                <c:formatCode>0.00</c:formatCode>
                <c:ptCount val="132"/>
                <c:pt idx="0">
                  <c:v>25</c:v>
                </c:pt>
                <c:pt idx="1">
                  <c:v>24.9</c:v>
                </c:pt>
                <c:pt idx="2">
                  <c:v>24.4</c:v>
                </c:pt>
                <c:pt idx="3">
                  <c:v>23.4</c:v>
                </c:pt>
                <c:pt idx="4">
                  <c:v>23</c:v>
                </c:pt>
                <c:pt idx="5">
                  <c:v>21.3</c:v>
                </c:pt>
                <c:pt idx="6">
                  <c:v>20.399999999999999</c:v>
                </c:pt>
                <c:pt idx="7">
                  <c:v>19.8</c:v>
                </c:pt>
                <c:pt idx="8">
                  <c:v>19.2</c:v>
                </c:pt>
                <c:pt idx="9">
                  <c:v>17.8</c:v>
                </c:pt>
                <c:pt idx="10">
                  <c:v>15.1</c:v>
                </c:pt>
                <c:pt idx="11">
                  <c:v>15.2</c:v>
                </c:pt>
                <c:pt idx="12">
                  <c:v>13.3</c:v>
                </c:pt>
                <c:pt idx="13">
                  <c:v>7</c:v>
                </c:pt>
                <c:pt idx="14">
                  <c:v>6.8</c:v>
                </c:pt>
                <c:pt idx="15">
                  <c:v>2.2000000000000002</c:v>
                </c:pt>
                <c:pt idx="16">
                  <c:v>1.8</c:v>
                </c:pt>
                <c:pt idx="17">
                  <c:v>-8.6</c:v>
                </c:pt>
                <c:pt idx="18">
                  <c:v>-9</c:v>
                </c:pt>
                <c:pt idx="19">
                  <c:v>-20.7</c:v>
                </c:pt>
                <c:pt idx="20">
                  <c:v>-26.2</c:v>
                </c:pt>
                <c:pt idx="21">
                  <c:v>-22.9</c:v>
                </c:pt>
                <c:pt idx="22">
                  <c:v>-21</c:v>
                </c:pt>
                <c:pt idx="23">
                  <c:v>-20.5</c:v>
                </c:pt>
                <c:pt idx="24">
                  <c:v>-14.5</c:v>
                </c:pt>
                <c:pt idx="25">
                  <c:v>-13.1</c:v>
                </c:pt>
                <c:pt idx="26">
                  <c:v>-18.100000000000001</c:v>
                </c:pt>
                <c:pt idx="27">
                  <c:v>-23.2</c:v>
                </c:pt>
                <c:pt idx="28">
                  <c:v>-23.7</c:v>
                </c:pt>
                <c:pt idx="29">
                  <c:v>-28.3</c:v>
                </c:pt>
                <c:pt idx="30">
                  <c:v>-35.9</c:v>
                </c:pt>
                <c:pt idx="31">
                  <c:v>-43.5</c:v>
                </c:pt>
                <c:pt idx="32">
                  <c:v>-46.5</c:v>
                </c:pt>
                <c:pt idx="33">
                  <c:v>-50.1</c:v>
                </c:pt>
                <c:pt idx="34">
                  <c:v>-53.7</c:v>
                </c:pt>
                <c:pt idx="35">
                  <c:v>-55.3</c:v>
                </c:pt>
                <c:pt idx="36">
                  <c:v>-57.1</c:v>
                </c:pt>
                <c:pt idx="37">
                  <c:v>-55.5</c:v>
                </c:pt>
                <c:pt idx="38">
                  <c:v>-51.2</c:v>
                </c:pt>
                <c:pt idx="39">
                  <c:v>-46.1</c:v>
                </c:pt>
                <c:pt idx="40">
                  <c:v>-45.2</c:v>
                </c:pt>
                <c:pt idx="41">
                  <c:v>-45.4</c:v>
                </c:pt>
                <c:pt idx="42">
                  <c:v>-46.5</c:v>
                </c:pt>
                <c:pt idx="43">
                  <c:v>-46.7</c:v>
                </c:pt>
                <c:pt idx="44">
                  <c:v>-59.5</c:v>
                </c:pt>
                <c:pt idx="45">
                  <c:v>-54.3</c:v>
                </c:pt>
                <c:pt idx="46">
                  <c:v>-55.6</c:v>
                </c:pt>
                <c:pt idx="47">
                  <c:v>-56.9</c:v>
                </c:pt>
                <c:pt idx="48">
                  <c:v>-57.2</c:v>
                </c:pt>
                <c:pt idx="49">
                  <c:v>-68.099999999999994</c:v>
                </c:pt>
                <c:pt idx="50">
                  <c:v>-69.099999999999994</c:v>
                </c:pt>
                <c:pt idx="51">
                  <c:v>-73.3</c:v>
                </c:pt>
                <c:pt idx="52">
                  <c:v>-74</c:v>
                </c:pt>
                <c:pt idx="53">
                  <c:v>-74.7</c:v>
                </c:pt>
                <c:pt idx="54">
                  <c:v>-77.2</c:v>
                </c:pt>
                <c:pt idx="55">
                  <c:v>-78.7</c:v>
                </c:pt>
                <c:pt idx="56">
                  <c:v>-81.8</c:v>
                </c:pt>
                <c:pt idx="57">
                  <c:v>-87.1</c:v>
                </c:pt>
                <c:pt idx="58">
                  <c:v>-87</c:v>
                </c:pt>
                <c:pt idx="59">
                  <c:v>-86.6</c:v>
                </c:pt>
                <c:pt idx="60">
                  <c:v>-86.5</c:v>
                </c:pt>
                <c:pt idx="61">
                  <c:v>-86.9</c:v>
                </c:pt>
                <c:pt idx="62">
                  <c:v>-87.1</c:v>
                </c:pt>
                <c:pt idx="63">
                  <c:v>-87.3</c:v>
                </c:pt>
                <c:pt idx="64">
                  <c:v>-88</c:v>
                </c:pt>
                <c:pt idx="65">
                  <c:v>-88.7</c:v>
                </c:pt>
                <c:pt idx="66">
                  <c:v>-88.9</c:v>
                </c:pt>
                <c:pt idx="67">
                  <c:v>-89.4</c:v>
                </c:pt>
                <c:pt idx="68">
                  <c:v>-90.5</c:v>
                </c:pt>
                <c:pt idx="69">
                  <c:v>-91.8</c:v>
                </c:pt>
                <c:pt idx="70">
                  <c:v>-92.2</c:v>
                </c:pt>
                <c:pt idx="71">
                  <c:v>-92.6</c:v>
                </c:pt>
                <c:pt idx="72">
                  <c:v>-92.9</c:v>
                </c:pt>
                <c:pt idx="73">
                  <c:v>-93.9</c:v>
                </c:pt>
                <c:pt idx="74">
                  <c:v>-93.7</c:v>
                </c:pt>
                <c:pt idx="75">
                  <c:v>-93.1</c:v>
                </c:pt>
                <c:pt idx="76">
                  <c:v>-93</c:v>
                </c:pt>
                <c:pt idx="77">
                  <c:v>-92.8</c:v>
                </c:pt>
                <c:pt idx="78">
                  <c:v>-92.5</c:v>
                </c:pt>
                <c:pt idx="79">
                  <c:v>-92.1</c:v>
                </c:pt>
                <c:pt idx="80">
                  <c:v>-91.9</c:v>
                </c:pt>
                <c:pt idx="81">
                  <c:v>-92</c:v>
                </c:pt>
                <c:pt idx="82">
                  <c:v>-92.1</c:v>
                </c:pt>
                <c:pt idx="83">
                  <c:v>-92.1</c:v>
                </c:pt>
                <c:pt idx="84">
                  <c:v>-92.7</c:v>
                </c:pt>
                <c:pt idx="85">
                  <c:v>-93.1</c:v>
                </c:pt>
                <c:pt idx="86">
                  <c:v>-93.3</c:v>
                </c:pt>
                <c:pt idx="87">
                  <c:v>-93.4</c:v>
                </c:pt>
                <c:pt idx="88">
                  <c:v>-93.5</c:v>
                </c:pt>
                <c:pt idx="89">
                  <c:v>-92.9</c:v>
                </c:pt>
                <c:pt idx="90">
                  <c:v>-92.5</c:v>
                </c:pt>
                <c:pt idx="91">
                  <c:v>-92.5</c:v>
                </c:pt>
                <c:pt idx="92">
                  <c:v>-92.5</c:v>
                </c:pt>
                <c:pt idx="93">
                  <c:v>-92.6</c:v>
                </c:pt>
                <c:pt idx="94">
                  <c:v>-92.6</c:v>
                </c:pt>
                <c:pt idx="95">
                  <c:v>-92.7</c:v>
                </c:pt>
                <c:pt idx="96">
                  <c:v>-93.3</c:v>
                </c:pt>
                <c:pt idx="97">
                  <c:v>-93.5</c:v>
                </c:pt>
                <c:pt idx="98">
                  <c:v>-94.1</c:v>
                </c:pt>
                <c:pt idx="99">
                  <c:v>-93</c:v>
                </c:pt>
                <c:pt idx="100">
                  <c:v>-91.1</c:v>
                </c:pt>
                <c:pt idx="101">
                  <c:v>-90.3</c:v>
                </c:pt>
                <c:pt idx="102">
                  <c:v>-90.3</c:v>
                </c:pt>
                <c:pt idx="103">
                  <c:v>-90.3</c:v>
                </c:pt>
                <c:pt idx="104">
                  <c:v>-90.3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Auswertung'!$CC$28:$CC$159</c:f>
              <c:numCache>
                <c:formatCode>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72800"/>
        <c:axId val="95374336"/>
      </c:scatterChart>
      <c:valAx>
        <c:axId val="95372800"/>
        <c:scaling>
          <c:orientation val="minMax"/>
          <c:max val="50"/>
          <c:min val="-100"/>
        </c:scaling>
        <c:delete val="0"/>
        <c:axPos val="t"/>
        <c:numFmt formatCode="0" sourceLinked="0"/>
        <c:majorTickMark val="out"/>
        <c:minorTickMark val="none"/>
        <c:tickLblPos val="high"/>
        <c:crossAx val="95374336"/>
        <c:crosses val="autoZero"/>
        <c:crossBetween val="midCat"/>
      </c:valAx>
      <c:valAx>
        <c:axId val="95374336"/>
        <c:scaling>
          <c:orientation val="maxMin"/>
          <c:max val="1050"/>
          <c:min val="100"/>
        </c:scaling>
        <c:delete val="0"/>
        <c:axPos val="l"/>
        <c:majorGridlines/>
        <c:numFmt formatCode="0" sourceLinked="1"/>
        <c:majorTickMark val="out"/>
        <c:minorTickMark val="none"/>
        <c:tickLblPos val="low"/>
        <c:crossAx val="95372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Relative Feuchte (%)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654239578960303"/>
          <c:y val="6.3504199475065623E-2"/>
          <c:w val="0.85119932830242773"/>
          <c:h val="0.86289015407299108"/>
        </c:manualLayout>
      </c:layout>
      <c:scatterChart>
        <c:scatterStyle val="lineMarker"/>
        <c:varyColors val="0"/>
        <c:ser>
          <c:idx val="0"/>
          <c:order val="0"/>
          <c:tx>
            <c:v>RELATIVE_FEUCHTE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'Daten Auswertung'!$AY$28:$AY$159</c:f>
              <c:numCache>
                <c:formatCode>0</c:formatCode>
                <c:ptCount val="132"/>
                <c:pt idx="0">
                  <c:v>83</c:v>
                </c:pt>
                <c:pt idx="1">
                  <c:v>83</c:v>
                </c:pt>
                <c:pt idx="2">
                  <c:v>85</c:v>
                </c:pt>
                <c:pt idx="3">
                  <c:v>94</c:v>
                </c:pt>
                <c:pt idx="4">
                  <c:v>99</c:v>
                </c:pt>
                <c:pt idx="5">
                  <c:v>96</c:v>
                </c:pt>
                <c:pt idx="6">
                  <c:v>95</c:v>
                </c:pt>
                <c:pt idx="7">
                  <c:v>96</c:v>
                </c:pt>
                <c:pt idx="8">
                  <c:v>98</c:v>
                </c:pt>
                <c:pt idx="9">
                  <c:v>94</c:v>
                </c:pt>
                <c:pt idx="10">
                  <c:v>86</c:v>
                </c:pt>
                <c:pt idx="11">
                  <c:v>87</c:v>
                </c:pt>
                <c:pt idx="12">
                  <c:v>78</c:v>
                </c:pt>
                <c:pt idx="13">
                  <c:v>49</c:v>
                </c:pt>
                <c:pt idx="14">
                  <c:v>48</c:v>
                </c:pt>
                <c:pt idx="15">
                  <c:v>39</c:v>
                </c:pt>
                <c:pt idx="16">
                  <c:v>38</c:v>
                </c:pt>
                <c:pt idx="17">
                  <c:v>27</c:v>
                </c:pt>
                <c:pt idx="18">
                  <c:v>33</c:v>
                </c:pt>
                <c:pt idx="19">
                  <c:v>16</c:v>
                </c:pt>
                <c:pt idx="20">
                  <c:v>11</c:v>
                </c:pt>
                <c:pt idx="21">
                  <c:v>16</c:v>
                </c:pt>
                <c:pt idx="22">
                  <c:v>19</c:v>
                </c:pt>
                <c:pt idx="23">
                  <c:v>20</c:v>
                </c:pt>
                <c:pt idx="24">
                  <c:v>44</c:v>
                </c:pt>
                <c:pt idx="25">
                  <c:v>53</c:v>
                </c:pt>
                <c:pt idx="26">
                  <c:v>37</c:v>
                </c:pt>
                <c:pt idx="27">
                  <c:v>26</c:v>
                </c:pt>
                <c:pt idx="28">
                  <c:v>25</c:v>
                </c:pt>
                <c:pt idx="29">
                  <c:v>17</c:v>
                </c:pt>
                <c:pt idx="30">
                  <c:v>12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17</c:v>
                </c:pt>
                <c:pt idx="39">
                  <c:v>54</c:v>
                </c:pt>
                <c:pt idx="40">
                  <c:v>66</c:v>
                </c:pt>
                <c:pt idx="41">
                  <c:v>66</c:v>
                </c:pt>
                <c:pt idx="42">
                  <c:v>69</c:v>
                </c:pt>
                <c:pt idx="43">
                  <c:v>69</c:v>
                </c:pt>
                <c:pt idx="44">
                  <c:v>27</c:v>
                </c:pt>
                <c:pt idx="45">
                  <c:v>56</c:v>
                </c:pt>
                <c:pt idx="46">
                  <c:v>59</c:v>
                </c:pt>
                <c:pt idx="47">
                  <c:v>66</c:v>
                </c:pt>
                <c:pt idx="48">
                  <c:v>74</c:v>
                </c:pt>
                <c:pt idx="49">
                  <c:v>24</c:v>
                </c:pt>
                <c:pt idx="50">
                  <c:v>20</c:v>
                </c:pt>
                <c:pt idx="51">
                  <c:v>11</c:v>
                </c:pt>
                <c:pt idx="52">
                  <c:v>19</c:v>
                </c:pt>
                <c:pt idx="53">
                  <c:v>32</c:v>
                </c:pt>
                <c:pt idx="54">
                  <c:v>43</c:v>
                </c:pt>
                <c:pt idx="55">
                  <c:v>52</c:v>
                </c:pt>
                <c:pt idx="56">
                  <c:v>37</c:v>
                </c:pt>
                <c:pt idx="57">
                  <c:v>19</c:v>
                </c:pt>
                <c:pt idx="58">
                  <c:v>21</c:v>
                </c:pt>
                <c:pt idx="59">
                  <c:v>26</c:v>
                </c:pt>
                <c:pt idx="60">
                  <c:v>26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27</c:v>
                </c:pt>
                <c:pt idx="65">
                  <c:v>30</c:v>
                </c:pt>
                <c:pt idx="66">
                  <c:v>18</c:v>
                </c:pt>
                <c:pt idx="67">
                  <c:v>13</c:v>
                </c:pt>
                <c:pt idx="68">
                  <c:v>6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Auswertung'!$AZ$28:$AZ$159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19776"/>
        <c:axId val="82621952"/>
      </c:scatterChart>
      <c:valAx>
        <c:axId val="82619776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de-DE" sz="1400" b="0"/>
                  <a:t>% r. F.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2621952"/>
        <c:crosses val="autoZero"/>
        <c:crossBetween val="midCat"/>
        <c:majorUnit val="5"/>
      </c:valAx>
      <c:valAx>
        <c:axId val="82621952"/>
        <c:scaling>
          <c:orientation val="minMax"/>
          <c:max val="1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sz="1400" b="0" i="0" baseline="0">
                    <a:effectLst/>
                  </a:rPr>
                  <a:t>Höhe (m über NN)</a:t>
                </a:r>
                <a:endParaRPr lang="de-DE" sz="1400" b="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2619776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'Daten Auswertung'!$BZ$28:$BZ$159</c:f>
              <c:numCache>
                <c:formatCode>0.0</c:formatCode>
                <c:ptCount val="132"/>
                <c:pt idx="0">
                  <c:v>28.2</c:v>
                </c:pt>
                <c:pt idx="1">
                  <c:v>28.1</c:v>
                </c:pt>
                <c:pt idx="2">
                  <c:v>27.2</c:v>
                </c:pt>
                <c:pt idx="3">
                  <c:v>24.5</c:v>
                </c:pt>
                <c:pt idx="4">
                  <c:v>23.2</c:v>
                </c:pt>
                <c:pt idx="5">
                  <c:v>21.9</c:v>
                </c:pt>
                <c:pt idx="6">
                  <c:v>21.2</c:v>
                </c:pt>
                <c:pt idx="7">
                  <c:v>20.399999999999999</c:v>
                </c:pt>
                <c:pt idx="8">
                  <c:v>19.600000000000001</c:v>
                </c:pt>
                <c:pt idx="9">
                  <c:v>18.899999999999999</c:v>
                </c:pt>
                <c:pt idx="10">
                  <c:v>17.399999999999999</c:v>
                </c:pt>
                <c:pt idx="11">
                  <c:v>17.399999999999999</c:v>
                </c:pt>
                <c:pt idx="12">
                  <c:v>17.2</c:v>
                </c:pt>
                <c:pt idx="13">
                  <c:v>18</c:v>
                </c:pt>
                <c:pt idx="14">
                  <c:v>17.899999999999999</c:v>
                </c:pt>
                <c:pt idx="15">
                  <c:v>16.2</c:v>
                </c:pt>
                <c:pt idx="16">
                  <c:v>15.9</c:v>
                </c:pt>
                <c:pt idx="17">
                  <c:v>9.4</c:v>
                </c:pt>
                <c:pt idx="18">
                  <c:v>6</c:v>
                </c:pt>
                <c:pt idx="19">
                  <c:v>2.5</c:v>
                </c:pt>
                <c:pt idx="20">
                  <c:v>0.8</c:v>
                </c:pt>
                <c:pt idx="21">
                  <c:v>0.1</c:v>
                </c:pt>
                <c:pt idx="22">
                  <c:v>-0.4</c:v>
                </c:pt>
                <c:pt idx="23">
                  <c:v>-0.5</c:v>
                </c:pt>
                <c:pt idx="24">
                  <c:v>-4.2</c:v>
                </c:pt>
                <c:pt idx="25">
                  <c:v>-5.0999999999999996</c:v>
                </c:pt>
                <c:pt idx="26">
                  <c:v>-5.8</c:v>
                </c:pt>
                <c:pt idx="27">
                  <c:v>-6.6</c:v>
                </c:pt>
                <c:pt idx="28">
                  <c:v>-6.7</c:v>
                </c:pt>
                <c:pt idx="29">
                  <c:v>-7.3</c:v>
                </c:pt>
                <c:pt idx="30">
                  <c:v>-11.9</c:v>
                </c:pt>
                <c:pt idx="31">
                  <c:v>-13.8</c:v>
                </c:pt>
                <c:pt idx="32">
                  <c:v>-14.5</c:v>
                </c:pt>
                <c:pt idx="33">
                  <c:v>-17.100000000000001</c:v>
                </c:pt>
                <c:pt idx="34">
                  <c:v>-19.7</c:v>
                </c:pt>
                <c:pt idx="35">
                  <c:v>-24.1</c:v>
                </c:pt>
                <c:pt idx="36">
                  <c:v>-29.1</c:v>
                </c:pt>
                <c:pt idx="37">
                  <c:v>-29.5</c:v>
                </c:pt>
                <c:pt idx="38">
                  <c:v>-34.4</c:v>
                </c:pt>
                <c:pt idx="39">
                  <c:v>-40.299999999999997</c:v>
                </c:pt>
                <c:pt idx="40">
                  <c:v>-41.3</c:v>
                </c:pt>
                <c:pt idx="41">
                  <c:v>-41.5</c:v>
                </c:pt>
                <c:pt idx="42">
                  <c:v>-43</c:v>
                </c:pt>
                <c:pt idx="43">
                  <c:v>-43.3</c:v>
                </c:pt>
                <c:pt idx="44">
                  <c:v>-48.5</c:v>
                </c:pt>
                <c:pt idx="45">
                  <c:v>-49.3</c:v>
                </c:pt>
                <c:pt idx="46">
                  <c:v>-51.1</c:v>
                </c:pt>
                <c:pt idx="47">
                  <c:v>-53.5</c:v>
                </c:pt>
                <c:pt idx="48">
                  <c:v>-54.7</c:v>
                </c:pt>
                <c:pt idx="49">
                  <c:v>-57.1</c:v>
                </c:pt>
                <c:pt idx="50">
                  <c:v>-57.1</c:v>
                </c:pt>
                <c:pt idx="51">
                  <c:v>-57.3</c:v>
                </c:pt>
                <c:pt idx="52">
                  <c:v>-62.1</c:v>
                </c:pt>
                <c:pt idx="53">
                  <c:v>-66.7</c:v>
                </c:pt>
                <c:pt idx="54">
                  <c:v>-71.599999999999994</c:v>
                </c:pt>
                <c:pt idx="55">
                  <c:v>-74.5</c:v>
                </c:pt>
                <c:pt idx="56">
                  <c:v>-75.5</c:v>
                </c:pt>
                <c:pt idx="57">
                  <c:v>-77.099999999999994</c:v>
                </c:pt>
                <c:pt idx="58">
                  <c:v>-77.400000000000006</c:v>
                </c:pt>
                <c:pt idx="59">
                  <c:v>-78.3</c:v>
                </c:pt>
                <c:pt idx="60">
                  <c:v>-78.5</c:v>
                </c:pt>
                <c:pt idx="61">
                  <c:v>-77.900000000000006</c:v>
                </c:pt>
                <c:pt idx="62">
                  <c:v>-78.3</c:v>
                </c:pt>
                <c:pt idx="63">
                  <c:v>-78.7</c:v>
                </c:pt>
                <c:pt idx="64">
                  <c:v>-80.3</c:v>
                </c:pt>
                <c:pt idx="65">
                  <c:v>-81.7</c:v>
                </c:pt>
                <c:pt idx="66">
                  <c:v>-78.900000000000006</c:v>
                </c:pt>
                <c:pt idx="67">
                  <c:v>-77.2</c:v>
                </c:pt>
                <c:pt idx="68">
                  <c:v>-73.5</c:v>
                </c:pt>
                <c:pt idx="69">
                  <c:v>-72.099999999999994</c:v>
                </c:pt>
                <c:pt idx="70">
                  <c:v>-71.7</c:v>
                </c:pt>
                <c:pt idx="71">
                  <c:v>-71.3</c:v>
                </c:pt>
                <c:pt idx="72">
                  <c:v>-70.900000000000006</c:v>
                </c:pt>
                <c:pt idx="73">
                  <c:v>-65.900000000000006</c:v>
                </c:pt>
                <c:pt idx="74">
                  <c:v>-66.2</c:v>
                </c:pt>
                <c:pt idx="75">
                  <c:v>-67.099999999999994</c:v>
                </c:pt>
                <c:pt idx="76">
                  <c:v>-67</c:v>
                </c:pt>
                <c:pt idx="77">
                  <c:v>-66.8</c:v>
                </c:pt>
                <c:pt idx="78">
                  <c:v>-66.5</c:v>
                </c:pt>
                <c:pt idx="79">
                  <c:v>-66.099999999999994</c:v>
                </c:pt>
                <c:pt idx="80">
                  <c:v>-65.900000000000006</c:v>
                </c:pt>
                <c:pt idx="81">
                  <c:v>-64.8</c:v>
                </c:pt>
                <c:pt idx="82">
                  <c:v>-63.7</c:v>
                </c:pt>
                <c:pt idx="83">
                  <c:v>-63.1</c:v>
                </c:pt>
                <c:pt idx="84">
                  <c:v>-64.599999999999994</c:v>
                </c:pt>
                <c:pt idx="85">
                  <c:v>-65.8</c:v>
                </c:pt>
                <c:pt idx="86">
                  <c:v>-66.3</c:v>
                </c:pt>
                <c:pt idx="87">
                  <c:v>-65.599999999999994</c:v>
                </c:pt>
                <c:pt idx="88">
                  <c:v>-64.5</c:v>
                </c:pt>
                <c:pt idx="89">
                  <c:v>-62.8</c:v>
                </c:pt>
                <c:pt idx="90">
                  <c:v>-61.5</c:v>
                </c:pt>
                <c:pt idx="91">
                  <c:v>-61.6</c:v>
                </c:pt>
                <c:pt idx="92">
                  <c:v>-62</c:v>
                </c:pt>
                <c:pt idx="93">
                  <c:v>-62.6</c:v>
                </c:pt>
                <c:pt idx="94">
                  <c:v>-63</c:v>
                </c:pt>
                <c:pt idx="95">
                  <c:v>-63.7</c:v>
                </c:pt>
                <c:pt idx="96">
                  <c:v>-65</c:v>
                </c:pt>
                <c:pt idx="97">
                  <c:v>-65.5</c:v>
                </c:pt>
                <c:pt idx="98">
                  <c:v>-64.099999999999994</c:v>
                </c:pt>
                <c:pt idx="99">
                  <c:v>-61.3</c:v>
                </c:pt>
                <c:pt idx="100">
                  <c:v>-56.4</c:v>
                </c:pt>
                <c:pt idx="101">
                  <c:v>-54.3</c:v>
                </c:pt>
                <c:pt idx="102">
                  <c:v>-55.1</c:v>
                </c:pt>
                <c:pt idx="103">
                  <c:v>-56.4</c:v>
                </c:pt>
                <c:pt idx="104">
                  <c:v>-57.3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Auswertung'!$CA$28:$CA$159</c:f>
              <c:numCache>
                <c:formatCode>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xVal>
            <c:numRef>
              <c:f>'Daten Auswertung'!$CB$28:$CB$159</c:f>
              <c:numCache>
                <c:formatCode>0.00</c:formatCode>
                <c:ptCount val="132"/>
                <c:pt idx="0">
                  <c:v>25</c:v>
                </c:pt>
                <c:pt idx="1">
                  <c:v>24.9</c:v>
                </c:pt>
                <c:pt idx="2">
                  <c:v>24.4</c:v>
                </c:pt>
                <c:pt idx="3">
                  <c:v>23.4</c:v>
                </c:pt>
                <c:pt idx="4">
                  <c:v>23</c:v>
                </c:pt>
                <c:pt idx="5">
                  <c:v>21.3</c:v>
                </c:pt>
                <c:pt idx="6">
                  <c:v>20.399999999999999</c:v>
                </c:pt>
                <c:pt idx="7">
                  <c:v>19.8</c:v>
                </c:pt>
                <c:pt idx="8">
                  <c:v>19.2</c:v>
                </c:pt>
                <c:pt idx="9">
                  <c:v>17.8</c:v>
                </c:pt>
                <c:pt idx="10">
                  <c:v>15.1</c:v>
                </c:pt>
                <c:pt idx="11">
                  <c:v>15.2</c:v>
                </c:pt>
                <c:pt idx="12">
                  <c:v>13.3</c:v>
                </c:pt>
                <c:pt idx="13">
                  <c:v>7</c:v>
                </c:pt>
                <c:pt idx="14">
                  <c:v>6.8</c:v>
                </c:pt>
                <c:pt idx="15">
                  <c:v>2.2000000000000002</c:v>
                </c:pt>
                <c:pt idx="16">
                  <c:v>1.8</c:v>
                </c:pt>
                <c:pt idx="17">
                  <c:v>-8.6</c:v>
                </c:pt>
                <c:pt idx="18">
                  <c:v>-9</c:v>
                </c:pt>
                <c:pt idx="19">
                  <c:v>-20.7</c:v>
                </c:pt>
                <c:pt idx="20">
                  <c:v>-26.2</c:v>
                </c:pt>
                <c:pt idx="21">
                  <c:v>-22.9</c:v>
                </c:pt>
                <c:pt idx="22">
                  <c:v>-21</c:v>
                </c:pt>
                <c:pt idx="23">
                  <c:v>-20.5</c:v>
                </c:pt>
                <c:pt idx="24">
                  <c:v>-14.5</c:v>
                </c:pt>
                <c:pt idx="25">
                  <c:v>-13.1</c:v>
                </c:pt>
                <c:pt idx="26">
                  <c:v>-18.100000000000001</c:v>
                </c:pt>
                <c:pt idx="27">
                  <c:v>-23.2</c:v>
                </c:pt>
                <c:pt idx="28">
                  <c:v>-23.7</c:v>
                </c:pt>
                <c:pt idx="29">
                  <c:v>-28.3</c:v>
                </c:pt>
                <c:pt idx="30">
                  <c:v>-35.9</c:v>
                </c:pt>
                <c:pt idx="31">
                  <c:v>-43.5</c:v>
                </c:pt>
                <c:pt idx="32">
                  <c:v>-46.5</c:v>
                </c:pt>
                <c:pt idx="33">
                  <c:v>-50.1</c:v>
                </c:pt>
                <c:pt idx="34">
                  <c:v>-53.7</c:v>
                </c:pt>
                <c:pt idx="35">
                  <c:v>-55.3</c:v>
                </c:pt>
                <c:pt idx="36">
                  <c:v>-57.1</c:v>
                </c:pt>
                <c:pt idx="37">
                  <c:v>-55.5</c:v>
                </c:pt>
                <c:pt idx="38">
                  <c:v>-51.2</c:v>
                </c:pt>
                <c:pt idx="39">
                  <c:v>-46.1</c:v>
                </c:pt>
                <c:pt idx="40">
                  <c:v>-45.2</c:v>
                </c:pt>
                <c:pt idx="41">
                  <c:v>-45.4</c:v>
                </c:pt>
                <c:pt idx="42">
                  <c:v>-46.5</c:v>
                </c:pt>
                <c:pt idx="43">
                  <c:v>-46.7</c:v>
                </c:pt>
                <c:pt idx="44">
                  <c:v>-59.5</c:v>
                </c:pt>
                <c:pt idx="45">
                  <c:v>-54.3</c:v>
                </c:pt>
                <c:pt idx="46">
                  <c:v>-55.6</c:v>
                </c:pt>
                <c:pt idx="47">
                  <c:v>-56.9</c:v>
                </c:pt>
                <c:pt idx="48">
                  <c:v>-57.2</c:v>
                </c:pt>
                <c:pt idx="49">
                  <c:v>-68.099999999999994</c:v>
                </c:pt>
                <c:pt idx="50">
                  <c:v>-69.099999999999994</c:v>
                </c:pt>
                <c:pt idx="51">
                  <c:v>-73.3</c:v>
                </c:pt>
                <c:pt idx="52">
                  <c:v>-74</c:v>
                </c:pt>
                <c:pt idx="53">
                  <c:v>-74.7</c:v>
                </c:pt>
                <c:pt idx="54">
                  <c:v>-77.2</c:v>
                </c:pt>
                <c:pt idx="55">
                  <c:v>-78.7</c:v>
                </c:pt>
                <c:pt idx="56">
                  <c:v>-81.8</c:v>
                </c:pt>
                <c:pt idx="57">
                  <c:v>-87.1</c:v>
                </c:pt>
                <c:pt idx="58">
                  <c:v>-87</c:v>
                </c:pt>
                <c:pt idx="59">
                  <c:v>-86.6</c:v>
                </c:pt>
                <c:pt idx="60">
                  <c:v>-86.5</c:v>
                </c:pt>
                <c:pt idx="61">
                  <c:v>-86.9</c:v>
                </c:pt>
                <c:pt idx="62">
                  <c:v>-87.1</c:v>
                </c:pt>
                <c:pt idx="63">
                  <c:v>-87.3</c:v>
                </c:pt>
                <c:pt idx="64">
                  <c:v>-88</c:v>
                </c:pt>
                <c:pt idx="65">
                  <c:v>-88.7</c:v>
                </c:pt>
                <c:pt idx="66">
                  <c:v>-88.9</c:v>
                </c:pt>
                <c:pt idx="67">
                  <c:v>-89.4</c:v>
                </c:pt>
                <c:pt idx="68">
                  <c:v>-90.5</c:v>
                </c:pt>
                <c:pt idx="69">
                  <c:v>-91.8</c:v>
                </c:pt>
                <c:pt idx="70">
                  <c:v>-92.2</c:v>
                </c:pt>
                <c:pt idx="71">
                  <c:v>-92.6</c:v>
                </c:pt>
                <c:pt idx="72">
                  <c:v>-92.9</c:v>
                </c:pt>
                <c:pt idx="73">
                  <c:v>-93.9</c:v>
                </c:pt>
                <c:pt idx="74">
                  <c:v>-93.7</c:v>
                </c:pt>
                <c:pt idx="75">
                  <c:v>-93.1</c:v>
                </c:pt>
                <c:pt idx="76">
                  <c:v>-93</c:v>
                </c:pt>
                <c:pt idx="77">
                  <c:v>-92.8</c:v>
                </c:pt>
                <c:pt idx="78">
                  <c:v>-92.5</c:v>
                </c:pt>
                <c:pt idx="79">
                  <c:v>-92.1</c:v>
                </c:pt>
                <c:pt idx="80">
                  <c:v>-91.9</c:v>
                </c:pt>
                <c:pt idx="81">
                  <c:v>-92</c:v>
                </c:pt>
                <c:pt idx="82">
                  <c:v>-92.1</c:v>
                </c:pt>
                <c:pt idx="83">
                  <c:v>-92.1</c:v>
                </c:pt>
                <c:pt idx="84">
                  <c:v>-92.7</c:v>
                </c:pt>
                <c:pt idx="85">
                  <c:v>-93.1</c:v>
                </c:pt>
                <c:pt idx="86">
                  <c:v>-93.3</c:v>
                </c:pt>
                <c:pt idx="87">
                  <c:v>-93.4</c:v>
                </c:pt>
                <c:pt idx="88">
                  <c:v>-93.5</c:v>
                </c:pt>
                <c:pt idx="89">
                  <c:v>-92.9</c:v>
                </c:pt>
                <c:pt idx="90">
                  <c:v>-92.5</c:v>
                </c:pt>
                <c:pt idx="91">
                  <c:v>-92.5</c:v>
                </c:pt>
                <c:pt idx="92">
                  <c:v>-92.5</c:v>
                </c:pt>
                <c:pt idx="93">
                  <c:v>-92.6</c:v>
                </c:pt>
                <c:pt idx="94">
                  <c:v>-92.6</c:v>
                </c:pt>
                <c:pt idx="95">
                  <c:v>-92.7</c:v>
                </c:pt>
                <c:pt idx="96">
                  <c:v>-93.3</c:v>
                </c:pt>
                <c:pt idx="97">
                  <c:v>-93.5</c:v>
                </c:pt>
                <c:pt idx="98">
                  <c:v>-94.1</c:v>
                </c:pt>
                <c:pt idx="99">
                  <c:v>-93</c:v>
                </c:pt>
                <c:pt idx="100">
                  <c:v>-91.1</c:v>
                </c:pt>
                <c:pt idx="101">
                  <c:v>-90.3</c:v>
                </c:pt>
                <c:pt idx="102">
                  <c:v>-90.3</c:v>
                </c:pt>
                <c:pt idx="103">
                  <c:v>-90.3</c:v>
                </c:pt>
                <c:pt idx="104">
                  <c:v>-90.3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Auswertung'!$CC$28:$CC$159</c:f>
              <c:numCache>
                <c:formatCode>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82912"/>
        <c:axId val="95401088"/>
      </c:scatterChart>
      <c:valAx>
        <c:axId val="95382912"/>
        <c:scaling>
          <c:orientation val="minMax"/>
          <c:max val="50"/>
          <c:min val="-100"/>
        </c:scaling>
        <c:delete val="0"/>
        <c:axPos val="t"/>
        <c:numFmt formatCode="0" sourceLinked="0"/>
        <c:majorTickMark val="out"/>
        <c:minorTickMark val="none"/>
        <c:tickLblPos val="high"/>
        <c:crossAx val="95401088"/>
        <c:crosses val="autoZero"/>
        <c:crossBetween val="midCat"/>
      </c:valAx>
      <c:valAx>
        <c:axId val="95401088"/>
        <c:scaling>
          <c:orientation val="maxMin"/>
          <c:max val="1050"/>
          <c:min val="100"/>
        </c:scaling>
        <c:delete val="0"/>
        <c:axPos val="l"/>
        <c:majorGridlines/>
        <c:numFmt formatCode="0" sourceLinked="1"/>
        <c:majorTickMark val="out"/>
        <c:minorTickMark val="none"/>
        <c:tickLblPos val="low"/>
        <c:crossAx val="95382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/>
              <a:t>Trockendiabate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5930446194225721E-2"/>
          <c:y val="0.11978877785393949"/>
          <c:w val="0.89943066491688539"/>
          <c:h val="0.82177288088841627"/>
        </c:manualLayout>
      </c:layout>
      <c:scatterChart>
        <c:scatterStyle val="lineMarker"/>
        <c:varyColors val="0"/>
        <c:ser>
          <c:idx val="0"/>
          <c:order val="0"/>
          <c:tx>
            <c:v>TROCKENADIABATE</c:v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Adiabaten!$B$75:$B$108</c:f>
              <c:numCache>
                <c:formatCode>0.0</c:formatCode>
                <c:ptCount val="34"/>
                <c:pt idx="0" formatCode="General">
                  <c:v>28</c:v>
                </c:pt>
                <c:pt idx="1">
                  <c:v>22.855568128310683</c:v>
                </c:pt>
                <c:pt idx="2">
                  <c:v>17.975568128310684</c:v>
                </c:pt>
                <c:pt idx="3">
                  <c:v>13.095568128310683</c:v>
                </c:pt>
                <c:pt idx="4">
                  <c:v>8.2155681283106823</c:v>
                </c:pt>
                <c:pt idx="5">
                  <c:v>3.3355681283106833</c:v>
                </c:pt>
                <c:pt idx="6">
                  <c:v>-1.5444318716893193</c:v>
                </c:pt>
                <c:pt idx="7">
                  <c:v>-6.4244318716893147</c:v>
                </c:pt>
                <c:pt idx="8">
                  <c:v>-11.304431871689317</c:v>
                </c:pt>
                <c:pt idx="9">
                  <c:v>-16.18443187168932</c:v>
                </c:pt>
                <c:pt idx="10">
                  <c:v>-21.064431871689315</c:v>
                </c:pt>
                <c:pt idx="11">
                  <c:v>-25.944431871689318</c:v>
                </c:pt>
                <c:pt idx="12">
                  <c:v>-30.824431871689313</c:v>
                </c:pt>
                <c:pt idx="13">
                  <c:v>-35.704431871689316</c:v>
                </c:pt>
                <c:pt idx="14">
                  <c:v>-40.584431871689318</c:v>
                </c:pt>
                <c:pt idx="15">
                  <c:v>-45.464431871689314</c:v>
                </c:pt>
                <c:pt idx="16">
                  <c:v>-50.344431871689309</c:v>
                </c:pt>
                <c:pt idx="17">
                  <c:v>-55.224431871689319</c:v>
                </c:pt>
                <c:pt idx="18">
                  <c:v>-60.104431871689314</c:v>
                </c:pt>
                <c:pt idx="19">
                  <c:v>-64.98443187168931</c:v>
                </c:pt>
                <c:pt idx="20">
                  <c:v>-69.86443187168932</c:v>
                </c:pt>
                <c:pt idx="21">
                  <c:v>-74.744431871689315</c:v>
                </c:pt>
                <c:pt idx="22">
                  <c:v>-79.62443187168931</c:v>
                </c:pt>
                <c:pt idx="23">
                  <c:v>-84.50443187168932</c:v>
                </c:pt>
                <c:pt idx="24">
                  <c:v>-89.384431871689316</c:v>
                </c:pt>
                <c:pt idx="25">
                  <c:v>-94.264431871689311</c:v>
                </c:pt>
                <c:pt idx="26">
                  <c:v>-99.144431871689321</c:v>
                </c:pt>
                <c:pt idx="27">
                  <c:v>-104.0244318716893</c:v>
                </c:pt>
                <c:pt idx="28">
                  <c:v>-108.90443187168933</c:v>
                </c:pt>
                <c:pt idx="29">
                  <c:v>-113.78443187168932</c:v>
                </c:pt>
                <c:pt idx="30">
                  <c:v>-118.66443187168932</c:v>
                </c:pt>
                <c:pt idx="31">
                  <c:v>-123.54443187168931</c:v>
                </c:pt>
                <c:pt idx="32">
                  <c:v>-128.42443187168931</c:v>
                </c:pt>
                <c:pt idx="33">
                  <c:v>-133.3044318716893</c:v>
                </c:pt>
              </c:numCache>
            </c:numRef>
          </c:xVal>
          <c:yVal>
            <c:numRef>
              <c:f>Adiabaten!$C$75:$C$108</c:f>
              <c:numCache>
                <c:formatCode>0.0</c:formatCode>
                <c:ptCount val="34"/>
                <c:pt idx="0" formatCode="General">
                  <c:v>1010</c:v>
                </c:pt>
                <c:pt idx="1">
                  <c:v>951.52105948711358</c:v>
                </c:pt>
                <c:pt idx="2">
                  <c:v>895.81444432492094</c:v>
                </c:pt>
                <c:pt idx="3">
                  <c:v>842.77847465649415</c:v>
                </c:pt>
                <c:pt idx="4">
                  <c:v>792.31408382063489</c:v>
                </c:pt>
                <c:pt idx="5">
                  <c:v>744.32478054120963</c:v>
                </c:pt>
                <c:pt idx="6">
                  <c:v>698.71661122895057</c:v>
                </c:pt>
                <c:pt idx="7">
                  <c:v>655.39812239671562</c:v>
                </c:pt>
                <c:pt idx="8">
                  <c:v>614.28032318920771</c:v>
                </c:pt>
                <c:pt idx="9">
                  <c:v>575.27664802819027</c:v>
                </c:pt>
                <c:pt idx="10">
                  <c:v>538.30291937425432</c:v>
                </c:pt>
                <c:pt idx="11">
                  <c:v>503.2773106062026</c:v>
                </c:pt>
                <c:pt idx="12">
                  <c:v>470.12030901916273</c:v>
                </c:pt>
                <c:pt idx="13">
                  <c:v>438.75467894254149</c:v>
                </c:pt>
                <c:pt idx="14">
                  <c:v>409.10542497897825</c:v>
                </c:pt>
                <c:pt idx="15">
                  <c:v>381.09975536546528</c:v>
                </c:pt>
                <c:pt idx="16">
                  <c:v>354.66704545784069</c:v>
                </c:pt>
                <c:pt idx="17">
                  <c:v>329.73880133988439</c:v>
                </c:pt>
                <c:pt idx="18">
                  <c:v>306.24862355827423</c:v>
                </c:pt>
                <c:pt idx="19">
                  <c:v>284.13217098469096</c:v>
                </c:pt>
                <c:pt idx="20">
                  <c:v>263.3271248063981</c:v>
                </c:pt>
                <c:pt idx="21">
                  <c:v>243.77315264664293</c:v>
                </c:pt>
                <c:pt idx="22">
                  <c:v>225.41187281627023</c:v>
                </c:pt>
                <c:pt idx="23">
                  <c:v>208.18681869797118</c:v>
                </c:pt>
                <c:pt idx="24">
                  <c:v>192.04340326462423</c:v>
                </c:pt>
                <c:pt idx="25">
                  <c:v>176.92888373322654</c:v>
                </c:pt>
                <c:pt idx="26">
                  <c:v>162.79232635595437</c:v>
                </c:pt>
                <c:pt idx="27">
                  <c:v>149.58457134992784</c:v>
                </c:pt>
                <c:pt idx="28">
                  <c:v>137.25819796730417</c:v>
                </c:pt>
                <c:pt idx="29">
                  <c:v>125.76748970736524</c:v>
                </c:pt>
                <c:pt idx="30">
                  <c:v>115.0683996723147</c:v>
                </c:pt>
                <c:pt idx="31">
                  <c:v>105.11851606854471</c:v>
                </c:pt>
                <c:pt idx="32">
                  <c:v>95.877027855191031</c:v>
                </c:pt>
                <c:pt idx="33">
                  <c:v>87.304690541842717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82528"/>
        <c:axId val="93384064"/>
      </c:scatterChart>
      <c:valAx>
        <c:axId val="93382528"/>
        <c:scaling>
          <c:orientation val="minMax"/>
          <c:max val="40"/>
          <c:min val="-100"/>
        </c:scaling>
        <c:delete val="0"/>
        <c:axPos val="t"/>
        <c:majorGridlines/>
        <c:numFmt formatCode="0" sourceLinked="0"/>
        <c:majorTickMark val="out"/>
        <c:minorTickMark val="none"/>
        <c:tickLblPos val="high"/>
        <c:crossAx val="93384064"/>
        <c:crosses val="autoZero"/>
        <c:crossBetween val="midCat"/>
        <c:majorUnit val="10"/>
      </c:valAx>
      <c:valAx>
        <c:axId val="93384064"/>
        <c:scaling>
          <c:orientation val="maxMin"/>
          <c:max val="1000"/>
          <c:min val="100"/>
        </c:scaling>
        <c:delete val="0"/>
        <c:axPos val="l"/>
        <c:majorGridlines/>
        <c:numFmt formatCode="0" sourceLinked="0"/>
        <c:majorTickMark val="out"/>
        <c:minorTickMark val="none"/>
        <c:tickLblPos val="low"/>
        <c:crossAx val="93382528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/>
              <a:t>Feuchtadiabate 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5930446194225721E-2"/>
          <c:y val="0.11978877785393949"/>
          <c:w val="0.89943066491688539"/>
          <c:h val="0.82177288088841627"/>
        </c:manualLayout>
      </c:layout>
      <c:scatterChart>
        <c:scatterStyle val="lineMarker"/>
        <c:varyColors val="0"/>
        <c:ser>
          <c:idx val="0"/>
          <c:order val="0"/>
          <c:tx>
            <c:v>FEUCHTADIABATE</c:v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Adiabaten!$T$32:$T$65</c:f>
              <c:numCache>
                <c:formatCode>0.0</c:formatCode>
                <c:ptCount val="34"/>
                <c:pt idx="0">
                  <c:v>24.5</c:v>
                </c:pt>
                <c:pt idx="1">
                  <c:v>22.610135306271534</c:v>
                </c:pt>
                <c:pt idx="2">
                  <c:v>20.689726923956442</c:v>
                </c:pt>
                <c:pt idx="3">
                  <c:v>18.73601819801366</c:v>
                </c:pt>
                <c:pt idx="4">
                  <c:v>16.745928357959126</c:v>
                </c:pt>
                <c:pt idx="5">
                  <c:v>14.71600659270508</c:v>
                </c:pt>
                <c:pt idx="6">
                  <c:v>12.642379447965439</c:v>
                </c:pt>
                <c:pt idx="7">
                  <c:v>10.520690948515295</c:v>
                </c:pt>
                <c:pt idx="8">
                  <c:v>8.3460350936413725</c:v>
                </c:pt>
                <c:pt idx="9">
                  <c:v>6.1128808705097928</c:v>
                </c:pt>
                <c:pt idx="10">
                  <c:v>3.8149908331254587</c:v>
                </c:pt>
                <c:pt idx="11">
                  <c:v>1.4453358395832132</c:v>
                </c:pt>
                <c:pt idx="12">
                  <c:v>-1.0039889303276275</c:v>
                </c:pt>
                <c:pt idx="13">
                  <c:v>-3.5418375709151104</c:v>
                </c:pt>
                <c:pt idx="14">
                  <c:v>-6.1780615258747762</c:v>
                </c:pt>
                <c:pt idx="15">
                  <c:v>-8.9235083311396881</c:v>
                </c:pt>
                <c:pt idx="16">
                  <c:v>-11.789935563756316</c:v>
                </c:pt>
                <c:pt idx="17">
                  <c:v>-14.789790577161989</c:v>
                </c:pt>
                <c:pt idx="18">
                  <c:v>-17.935793308305325</c:v>
                </c:pt>
                <c:pt idx="19">
                  <c:v>-21.240254097060681</c:v>
                </c:pt>
                <c:pt idx="20">
                  <c:v>-24.714074614264529</c:v>
                </c:pt>
                <c:pt idx="21">
                  <c:v>-28.365436702232994</c:v>
                </c:pt>
                <c:pt idx="22">
                  <c:v>-32.198296973378298</c:v>
                </c:pt>
                <c:pt idx="23">
                  <c:v>-36.21096522179284</c:v>
                </c:pt>
                <c:pt idx="24">
                  <c:v>-40.395190167436169</c:v>
                </c:pt>
                <c:pt idx="25">
                  <c:v>-44.736190890553907</c:v>
                </c:pt>
                <c:pt idx="26">
                  <c:v>-49.21385587320912</c:v>
                </c:pt>
                <c:pt idx="27">
                  <c:v>-53.804920529529937</c:v>
                </c:pt>
                <c:pt idx="28">
                  <c:v>-58.485546189496858</c:v>
                </c:pt>
                <c:pt idx="29">
                  <c:v>-63.233607636232982</c:v>
                </c:pt>
                <c:pt idx="30">
                  <c:v>-68.030208391059887</c:v>
                </c:pt>
                <c:pt idx="31">
                  <c:v>-72.860307038621528</c:v>
                </c:pt>
                <c:pt idx="32">
                  <c:v>-77.712628242121241</c:v>
                </c:pt>
                <c:pt idx="33">
                  <c:v>-82.579147146361535</c:v>
                </c:pt>
              </c:numCache>
            </c:numRef>
          </c:xVal>
          <c:yVal>
            <c:numRef>
              <c:f>Adiabaten!$V$32:$V$65</c:f>
              <c:numCache>
                <c:formatCode>0.0</c:formatCode>
                <c:ptCount val="34"/>
                <c:pt idx="0">
                  <c:v>975</c:v>
                </c:pt>
                <c:pt idx="1">
                  <c:v>920.30382448587989</c:v>
                </c:pt>
                <c:pt idx="2">
                  <c:v>868.12256057171271</c:v>
                </c:pt>
                <c:pt idx="3">
                  <c:v>818.36953633090104</c:v>
                </c:pt>
                <c:pt idx="4">
                  <c:v>770.95983007977372</c:v>
                </c:pt>
                <c:pt idx="5">
                  <c:v>725.81027575447376</c:v>
                </c:pt>
                <c:pt idx="6">
                  <c:v>682.83946718778782</c:v>
                </c:pt>
                <c:pt idx="7">
                  <c:v>641.96776127408145</c:v>
                </c:pt>
                <c:pt idx="8">
                  <c:v>603.11728001176778</c:v>
                </c:pt>
                <c:pt idx="9">
                  <c:v>566.21191141403528</c:v>
                </c:pt>
                <c:pt idx="10">
                  <c:v>531.1773092799275</c:v>
                </c:pt>
                <c:pt idx="11">
                  <c:v>497.9408918192828</c:v>
                </c:pt>
                <c:pt idx="12">
                  <c:v>466.43183912651381</c:v>
                </c:pt>
                <c:pt idx="13">
                  <c:v>436.58108949972348</c:v>
                </c:pt>
                <c:pt idx="14">
                  <c:v>408.3213346032324</c:v>
                </c:pt>
                <c:pt idx="15">
                  <c:v>381.58701347320681</c:v>
                </c:pt>
                <c:pt idx="16">
                  <c:v>356.31430536774678</c:v>
                </c:pt>
                <c:pt idx="17">
                  <c:v>332.44112146450124</c:v>
                </c:pt>
                <c:pt idx="18">
                  <c:v>309.9070954106316</c:v>
                </c:pt>
                <c:pt idx="19">
                  <c:v>288.65357273173305</c:v>
                </c:pt>
                <c:pt idx="20">
                  <c:v>268.62359910814973</c:v>
                </c:pt>
                <c:pt idx="21">
                  <c:v>249.76190752897753</c:v>
                </c:pt>
                <c:pt idx="22">
                  <c:v>232.01490433593415</c:v>
                </c:pt>
                <c:pt idx="23">
                  <c:v>215.33065417118652</c:v>
                </c:pt>
                <c:pt idx="24">
                  <c:v>199.65886384515622</c:v>
                </c:pt>
                <c:pt idx="25">
                  <c:v>184.95086514226986</c:v>
                </c:pt>
                <c:pt idx="26">
                  <c:v>171.15959658457797</c:v>
                </c:pt>
                <c:pt idx="27">
                  <c:v>158.23958417512878</c:v>
                </c:pt>
                <c:pt idx="28">
                  <c:v>146.14692114494656</c:v>
                </c:pt>
                <c:pt idx="29">
                  <c:v>134.83924672941995</c:v>
                </c:pt>
                <c:pt idx="30">
                  <c:v>124.27572400185389</c:v>
                </c:pt>
                <c:pt idx="31">
                  <c:v>114.41701679386607</c:v>
                </c:pt>
                <c:pt idx="32">
                  <c:v>105.22526573421241</c:v>
                </c:pt>
                <c:pt idx="33">
                  <c:v>96.664063439502684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20832"/>
        <c:axId val="80122624"/>
      </c:scatterChart>
      <c:valAx>
        <c:axId val="80120832"/>
        <c:scaling>
          <c:orientation val="minMax"/>
          <c:max val="40"/>
          <c:min val="-100"/>
        </c:scaling>
        <c:delete val="0"/>
        <c:axPos val="t"/>
        <c:majorGridlines/>
        <c:numFmt formatCode="0" sourceLinked="0"/>
        <c:majorTickMark val="out"/>
        <c:minorTickMark val="none"/>
        <c:tickLblPos val="high"/>
        <c:crossAx val="80122624"/>
        <c:crosses val="autoZero"/>
        <c:crossBetween val="midCat"/>
        <c:majorUnit val="10"/>
      </c:valAx>
      <c:valAx>
        <c:axId val="80122624"/>
        <c:scaling>
          <c:orientation val="maxMin"/>
          <c:max val="1000"/>
          <c:min val="100"/>
        </c:scaling>
        <c:delete val="0"/>
        <c:axPos val="l"/>
        <c:majorGridlines/>
        <c:numFmt formatCode="0" sourceLinked="0"/>
        <c:majorTickMark val="out"/>
        <c:minorTickMark val="none"/>
        <c:tickLblPos val="low"/>
        <c:crossAx val="80120832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Temperatur_Druck</c:v>
          </c:tx>
          <c:spPr>
            <a:ln w="28575">
              <a:solidFill>
                <a:schemeClr val="accent1"/>
              </a:solidFill>
            </a:ln>
          </c:spPr>
          <c:xVal>
            <c:numRef>
              <c:f>Adiabaten!$Z$120:$Z$251</c:f>
              <c:numCache>
                <c:formatCode>0.0</c:formatCode>
                <c:ptCount val="132"/>
                <c:pt idx="0">
                  <c:v>28.2</c:v>
                </c:pt>
                <c:pt idx="1">
                  <c:v>28.1</c:v>
                </c:pt>
                <c:pt idx="2">
                  <c:v>27.2</c:v>
                </c:pt>
                <c:pt idx="3">
                  <c:v>24.5</c:v>
                </c:pt>
                <c:pt idx="4">
                  <c:v>23.2</c:v>
                </c:pt>
                <c:pt idx="5">
                  <c:v>21.9</c:v>
                </c:pt>
                <c:pt idx="6">
                  <c:v>21.2</c:v>
                </c:pt>
                <c:pt idx="7">
                  <c:v>20.399999999999999</c:v>
                </c:pt>
                <c:pt idx="8">
                  <c:v>19.600000000000001</c:v>
                </c:pt>
                <c:pt idx="9">
                  <c:v>18.899999999999999</c:v>
                </c:pt>
                <c:pt idx="10">
                  <c:v>17.399999999999999</c:v>
                </c:pt>
                <c:pt idx="11">
                  <c:v>17.399999999999999</c:v>
                </c:pt>
                <c:pt idx="12">
                  <c:v>17.2</c:v>
                </c:pt>
                <c:pt idx="13">
                  <c:v>18</c:v>
                </c:pt>
                <c:pt idx="14">
                  <c:v>17.899999999999999</c:v>
                </c:pt>
                <c:pt idx="15">
                  <c:v>16.2</c:v>
                </c:pt>
                <c:pt idx="16">
                  <c:v>15.9</c:v>
                </c:pt>
                <c:pt idx="17">
                  <c:v>9.4</c:v>
                </c:pt>
                <c:pt idx="18">
                  <c:v>6</c:v>
                </c:pt>
                <c:pt idx="19">
                  <c:v>2.5</c:v>
                </c:pt>
                <c:pt idx="20">
                  <c:v>0.8</c:v>
                </c:pt>
                <c:pt idx="21">
                  <c:v>0.1</c:v>
                </c:pt>
                <c:pt idx="22">
                  <c:v>-0.4</c:v>
                </c:pt>
                <c:pt idx="23">
                  <c:v>-0.5</c:v>
                </c:pt>
                <c:pt idx="24">
                  <c:v>-4.2</c:v>
                </c:pt>
                <c:pt idx="25">
                  <c:v>-5.0999999999999996</c:v>
                </c:pt>
                <c:pt idx="26">
                  <c:v>-5.8</c:v>
                </c:pt>
                <c:pt idx="27">
                  <c:v>-6.6</c:v>
                </c:pt>
                <c:pt idx="28">
                  <c:v>-6.7</c:v>
                </c:pt>
                <c:pt idx="29">
                  <c:v>-7.3</c:v>
                </c:pt>
                <c:pt idx="30">
                  <c:v>-11.9</c:v>
                </c:pt>
                <c:pt idx="31">
                  <c:v>-13.8</c:v>
                </c:pt>
                <c:pt idx="32">
                  <c:v>-14.5</c:v>
                </c:pt>
                <c:pt idx="33">
                  <c:v>-17.100000000000001</c:v>
                </c:pt>
                <c:pt idx="34">
                  <c:v>-19.7</c:v>
                </c:pt>
                <c:pt idx="35">
                  <c:v>-24.1</c:v>
                </c:pt>
                <c:pt idx="36">
                  <c:v>-29.1</c:v>
                </c:pt>
                <c:pt idx="37">
                  <c:v>-29.5</c:v>
                </c:pt>
                <c:pt idx="38">
                  <c:v>-34.4</c:v>
                </c:pt>
                <c:pt idx="39">
                  <c:v>-40.299999999999997</c:v>
                </c:pt>
                <c:pt idx="40">
                  <c:v>-41.3</c:v>
                </c:pt>
                <c:pt idx="41">
                  <c:v>-41.5</c:v>
                </c:pt>
                <c:pt idx="42">
                  <c:v>-43</c:v>
                </c:pt>
                <c:pt idx="43">
                  <c:v>-43.3</c:v>
                </c:pt>
                <c:pt idx="44">
                  <c:v>-48.5</c:v>
                </c:pt>
                <c:pt idx="45">
                  <c:v>-49.3</c:v>
                </c:pt>
                <c:pt idx="46">
                  <c:v>-51.1</c:v>
                </c:pt>
                <c:pt idx="47">
                  <c:v>-53.5</c:v>
                </c:pt>
                <c:pt idx="48">
                  <c:v>-54.7</c:v>
                </c:pt>
                <c:pt idx="49">
                  <c:v>-57.1</c:v>
                </c:pt>
                <c:pt idx="50">
                  <c:v>-57.1</c:v>
                </c:pt>
                <c:pt idx="51">
                  <c:v>-57.3</c:v>
                </c:pt>
                <c:pt idx="52">
                  <c:v>-62.1</c:v>
                </c:pt>
                <c:pt idx="53">
                  <c:v>-66.7</c:v>
                </c:pt>
                <c:pt idx="54">
                  <c:v>-71.599999999999994</c:v>
                </c:pt>
                <c:pt idx="55">
                  <c:v>-74.5</c:v>
                </c:pt>
                <c:pt idx="56">
                  <c:v>-75.5</c:v>
                </c:pt>
                <c:pt idx="57">
                  <c:v>-77.099999999999994</c:v>
                </c:pt>
                <c:pt idx="58">
                  <c:v>-77.400000000000006</c:v>
                </c:pt>
                <c:pt idx="59">
                  <c:v>-78.3</c:v>
                </c:pt>
                <c:pt idx="60">
                  <c:v>-78.5</c:v>
                </c:pt>
                <c:pt idx="61">
                  <c:v>-77.900000000000006</c:v>
                </c:pt>
                <c:pt idx="62">
                  <c:v>-78.3</c:v>
                </c:pt>
                <c:pt idx="63">
                  <c:v>-78.7</c:v>
                </c:pt>
                <c:pt idx="64">
                  <c:v>-80.3</c:v>
                </c:pt>
                <c:pt idx="65">
                  <c:v>-81.7</c:v>
                </c:pt>
                <c:pt idx="66">
                  <c:v>-78.900000000000006</c:v>
                </c:pt>
                <c:pt idx="67">
                  <c:v>-77.2</c:v>
                </c:pt>
                <c:pt idx="68">
                  <c:v>-73.5</c:v>
                </c:pt>
                <c:pt idx="69">
                  <c:v>-72.099999999999994</c:v>
                </c:pt>
                <c:pt idx="70">
                  <c:v>-71.7</c:v>
                </c:pt>
                <c:pt idx="71">
                  <c:v>-71.3</c:v>
                </c:pt>
                <c:pt idx="72">
                  <c:v>-70.900000000000006</c:v>
                </c:pt>
                <c:pt idx="73">
                  <c:v>-65.900000000000006</c:v>
                </c:pt>
                <c:pt idx="74">
                  <c:v>-66.2</c:v>
                </c:pt>
                <c:pt idx="75">
                  <c:v>-67.099999999999994</c:v>
                </c:pt>
                <c:pt idx="76">
                  <c:v>-67</c:v>
                </c:pt>
                <c:pt idx="77">
                  <c:v>-66.8</c:v>
                </c:pt>
                <c:pt idx="78">
                  <c:v>-66.5</c:v>
                </c:pt>
                <c:pt idx="79">
                  <c:v>-66.099999999999994</c:v>
                </c:pt>
                <c:pt idx="80">
                  <c:v>-65.900000000000006</c:v>
                </c:pt>
                <c:pt idx="81">
                  <c:v>-64.8</c:v>
                </c:pt>
                <c:pt idx="82">
                  <c:v>-63.7</c:v>
                </c:pt>
                <c:pt idx="83">
                  <c:v>-63.1</c:v>
                </c:pt>
                <c:pt idx="84">
                  <c:v>-64.599999999999994</c:v>
                </c:pt>
                <c:pt idx="85">
                  <c:v>-65.8</c:v>
                </c:pt>
                <c:pt idx="86">
                  <c:v>-66.3</c:v>
                </c:pt>
                <c:pt idx="87">
                  <c:v>-65.599999999999994</c:v>
                </c:pt>
                <c:pt idx="88">
                  <c:v>-64.5</c:v>
                </c:pt>
                <c:pt idx="89">
                  <c:v>-62.8</c:v>
                </c:pt>
                <c:pt idx="90">
                  <c:v>-61.5</c:v>
                </c:pt>
                <c:pt idx="91">
                  <c:v>-61.6</c:v>
                </c:pt>
                <c:pt idx="92">
                  <c:v>-62</c:v>
                </c:pt>
                <c:pt idx="93">
                  <c:v>-62.6</c:v>
                </c:pt>
                <c:pt idx="94">
                  <c:v>-63</c:v>
                </c:pt>
                <c:pt idx="95">
                  <c:v>-63.7</c:v>
                </c:pt>
                <c:pt idx="96">
                  <c:v>-65</c:v>
                </c:pt>
                <c:pt idx="97">
                  <c:v>-65.5</c:v>
                </c:pt>
                <c:pt idx="98">
                  <c:v>-64.099999999999994</c:v>
                </c:pt>
                <c:pt idx="99">
                  <c:v>-61.3</c:v>
                </c:pt>
                <c:pt idx="100">
                  <c:v>-56.4</c:v>
                </c:pt>
                <c:pt idx="101">
                  <c:v>-54.3</c:v>
                </c:pt>
                <c:pt idx="102">
                  <c:v>-55.1</c:v>
                </c:pt>
                <c:pt idx="103">
                  <c:v>-56.4</c:v>
                </c:pt>
                <c:pt idx="104">
                  <c:v>-57.3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Adiabaten!$AB$120:$AB$251</c:f>
              <c:numCache>
                <c:formatCode>0.0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FEUCHTADIABATE</c:v>
          </c:tx>
          <c:xVal>
            <c:numRef>
              <c:f>Adiabaten!$AA$120:$AA$251</c:f>
              <c:numCache>
                <c:formatCode>0.0</c:formatCode>
                <c:ptCount val="132"/>
                <c:pt idx="0">
                  <c:v>0</c:v>
                </c:pt>
                <c:pt idx="1">
                  <c:v>-999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-999</c:v>
                </c:pt>
                <c:pt idx="51">
                  <c:v>-999</c:v>
                </c:pt>
                <c:pt idx="52">
                  <c:v>-999</c:v>
                </c:pt>
                <c:pt idx="53">
                  <c:v>-999</c:v>
                </c:pt>
                <c:pt idx="54">
                  <c:v>-999</c:v>
                </c:pt>
                <c:pt idx="55">
                  <c:v>-999</c:v>
                </c:pt>
                <c:pt idx="56">
                  <c:v>-999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-999</c:v>
                </c:pt>
                <c:pt idx="61">
                  <c:v>-999</c:v>
                </c:pt>
                <c:pt idx="62">
                  <c:v>-999</c:v>
                </c:pt>
                <c:pt idx="63">
                  <c:v>-999</c:v>
                </c:pt>
                <c:pt idx="64">
                  <c:v>-999</c:v>
                </c:pt>
                <c:pt idx="65">
                  <c:v>-999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-999</c:v>
                </c:pt>
                <c:pt idx="72">
                  <c:v>-999</c:v>
                </c:pt>
                <c:pt idx="73">
                  <c:v>-999</c:v>
                </c:pt>
                <c:pt idx="74">
                  <c:v>-999</c:v>
                </c:pt>
                <c:pt idx="75">
                  <c:v>-999</c:v>
                </c:pt>
                <c:pt idx="76">
                  <c:v>-999</c:v>
                </c:pt>
                <c:pt idx="77">
                  <c:v>-999</c:v>
                </c:pt>
                <c:pt idx="78">
                  <c:v>-999</c:v>
                </c:pt>
                <c:pt idx="79">
                  <c:v>-999</c:v>
                </c:pt>
                <c:pt idx="80">
                  <c:v>-999</c:v>
                </c:pt>
                <c:pt idx="81">
                  <c:v>-999</c:v>
                </c:pt>
                <c:pt idx="82">
                  <c:v>-999</c:v>
                </c:pt>
                <c:pt idx="83">
                  <c:v>-999</c:v>
                </c:pt>
                <c:pt idx="84">
                  <c:v>-999</c:v>
                </c:pt>
                <c:pt idx="85">
                  <c:v>-999</c:v>
                </c:pt>
                <c:pt idx="86">
                  <c:v>-999</c:v>
                </c:pt>
                <c:pt idx="87">
                  <c:v>-999</c:v>
                </c:pt>
                <c:pt idx="88">
                  <c:v>-999</c:v>
                </c:pt>
                <c:pt idx="89">
                  <c:v>-999</c:v>
                </c:pt>
                <c:pt idx="90">
                  <c:v>-999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Adiabaten!$AB$120:$AB$251</c:f>
              <c:numCache>
                <c:formatCode>0.0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47584"/>
        <c:axId val="92949120"/>
      </c:scatterChart>
      <c:valAx>
        <c:axId val="92947584"/>
        <c:scaling>
          <c:orientation val="minMax"/>
          <c:max val="40"/>
          <c:min val="-80"/>
        </c:scaling>
        <c:delete val="0"/>
        <c:axPos val="t"/>
        <c:majorGridlines/>
        <c:numFmt formatCode="0" sourceLinked="0"/>
        <c:majorTickMark val="out"/>
        <c:minorTickMark val="none"/>
        <c:tickLblPos val="nextTo"/>
        <c:crossAx val="92949120"/>
        <c:crosses val="autoZero"/>
        <c:crossBetween val="midCat"/>
        <c:majorUnit val="5"/>
      </c:valAx>
      <c:valAx>
        <c:axId val="92949120"/>
        <c:scaling>
          <c:orientation val="maxMin"/>
          <c:max val="1050"/>
          <c:min val="100"/>
        </c:scaling>
        <c:delete val="0"/>
        <c:axPos val="l"/>
        <c:majorGridlines/>
        <c:numFmt formatCode="0" sourceLinked="0"/>
        <c:majorTickMark val="out"/>
        <c:minorTickMark val="none"/>
        <c:tickLblPos val="low"/>
        <c:crossAx val="92947584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de-DE" sz="1400" b="0"/>
              <a:t>Sättigungsmischungsverhältnis (g Wasserdampf/ kg trockene Luft)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340094348839577E-2"/>
          <c:y val="0.10609875679549111"/>
          <c:w val="0.89397239237764903"/>
          <c:h val="0.83864531661231201"/>
        </c:manualLayout>
      </c:layout>
      <c:scatterChart>
        <c:scatterStyle val="lineMarker"/>
        <c:varyColors val="0"/>
        <c:ser>
          <c:idx val="0"/>
          <c:order val="0"/>
          <c:tx>
            <c:v>30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9"/>
              <c:pt idx="0">
                <c:v>31.583242654172011</c:v>
              </c:pt>
              <c:pt idx="1">
                <c:v>30.690698419520515</c:v>
              </c:pt>
              <c:pt idx="2">
                <c:v>29.75552840576978</c:v>
              </c:pt>
              <c:pt idx="3">
                <c:v>28.773131168824875</c:v>
              </c:pt>
              <c:pt idx="4">
                <c:v>27.738099073608339</c:v>
              </c:pt>
              <c:pt idx="5">
                <c:v>26.644015854230418</c:v>
              </c:pt>
              <c:pt idx="6">
                <c:v>25.483185849778692</c:v>
              </c:pt>
              <c:pt idx="7">
                <c:v>24.246265073722043</c:v>
              </c:pt>
              <c:pt idx="8">
                <c:v>22.921747801181141</c:v>
              </c:pt>
              <c:pt idx="9">
                <c:v>21.495234558490836</c:v>
              </c:pt>
              <c:pt idx="10">
                <c:v>19.948358656429548</c:v>
              </c:pt>
              <c:pt idx="11">
                <c:v>18.257159053330497</c:v>
              </c:pt>
              <c:pt idx="12">
                <c:v>16.389514697946822</c:v>
              </c:pt>
              <c:pt idx="13">
                <c:v>14.300900283853537</c:v>
              </c:pt>
              <c:pt idx="14">
                <c:v>11.926933851298429</c:v>
              </c:pt>
              <c:pt idx="15">
                <c:v>9.1692531915850282</c:v>
              </c:pt>
              <c:pt idx="16">
                <c:v>5.8658837896919636</c:v>
              </c:pt>
              <c:pt idx="17">
                <c:v>1.7194797044707002</c:v>
              </c:pt>
              <c:pt idx="18">
                <c:v>-3.9195904397782897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1"/>
          <c:order val="1"/>
          <c:tx>
            <c:v>20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9"/>
              <c:pt idx="0">
                <c:v>24.925545747899037</c:v>
              </c:pt>
              <c:pt idx="1">
                <c:v>24.071520775302531</c:v>
              </c:pt>
              <c:pt idx="2">
                <c:v>23.176592343097184</c:v>
              </c:pt>
              <c:pt idx="3">
                <c:v>22.236339663662136</c:v>
              </c:pt>
              <c:pt idx="4">
                <c:v>21.245566823887714</c:v>
              </c:pt>
              <c:pt idx="5">
                <c:v>20.198108037305133</c:v>
              </c:pt>
              <c:pt idx="6">
                <c:v>19.086567138497514</c:v>
              </c:pt>
              <c:pt idx="7">
                <c:v>17.901962588000629</c:v>
              </c:pt>
              <c:pt idx="8">
                <c:v>16.633233389805753</c:v>
              </c:pt>
              <c:pt idx="9">
                <c:v>15.266534545953448</c:v>
              </c:pt>
              <c:pt idx="10">
                <c:v>13.784203715877254</c:v>
              </c:pt>
              <c:pt idx="11">
                <c:v>12.163194655554776</c:v>
              </c:pt>
              <c:pt idx="12">
                <c:v>10.372606653483047</c:v>
              </c:pt>
              <c:pt idx="13">
                <c:v>8.3695968243833931</c:v>
              </c:pt>
              <c:pt idx="14">
                <c:v>6.0922010735839649</c:v>
              </c:pt>
              <c:pt idx="15">
                <c:v>3.445725351268436</c:v>
              </c:pt>
              <c:pt idx="16">
                <c:v>0.27418596168905651</c:v>
              </c:pt>
              <c:pt idx="17">
                <c:v>-3.7088753018123271</c:v>
              </c:pt>
              <c:pt idx="18">
                <c:v>-9.1296107694814737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2"/>
          <c:order val="2"/>
          <c:tx>
            <c:v>10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9"/>
              <c:pt idx="0">
                <c:v>14.027315111293319</c:v>
              </c:pt>
              <c:pt idx="1">
                <c:v>13.234515126607903</c:v>
              </c:pt>
              <c:pt idx="2">
                <c:v>12.403565787449736</c:v>
              </c:pt>
              <c:pt idx="3">
                <c:v>11.530335877198922</c:v>
              </c:pt>
              <c:pt idx="4">
                <c:v>10.60996892267417</c:v>
              </c:pt>
              <c:pt idx="5">
                <c:v>9.6367008076443312</c:v>
              </c:pt>
              <c:pt idx="6">
                <c:v>8.6036157570149498</c:v>
              </c:pt>
              <c:pt idx="7">
                <c:v>7.5023137469579524</c:v>
              </c:pt>
              <c:pt idx="8">
                <c:v>6.3224475089047019</c:v>
              </c:pt>
              <c:pt idx="9">
                <c:v>5.0510621645331071</c:v>
              </c:pt>
              <c:pt idx="10">
                <c:v>3.6716264505349727</c:v>
              </c:pt>
              <c:pt idx="11">
                <c:v>2.1625636583166852</c:v>
              </c:pt>
              <c:pt idx="12">
                <c:v>0.49493417886640145</c:v>
              </c:pt>
              <c:pt idx="13">
                <c:v>-1.3714000678415914</c:v>
              </c:pt>
              <c:pt idx="14">
                <c:v>-3.4945141870851444</c:v>
              </c:pt>
              <c:pt idx="15">
                <c:v>-5.9631990704775717</c:v>
              </c:pt>
              <c:pt idx="16">
                <c:v>-8.9237914090625736</c:v>
              </c:pt>
              <c:pt idx="17">
                <c:v>-12.645203742622925</c:v>
              </c:pt>
              <c:pt idx="18">
                <c:v>-17.715715296103554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3"/>
          <c:order val="3"/>
          <c:tx>
            <c:v>5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9"/>
              <c:pt idx="0">
                <c:v>3.7860616044284825</c:v>
              </c:pt>
              <c:pt idx="1">
                <c:v>3.0487260890131438</c:v>
              </c:pt>
              <c:pt idx="2">
                <c:v>2.2757542964467348</c:v>
              </c:pt>
              <c:pt idx="3">
                <c:v>1.463280003484158</c:v>
              </c:pt>
              <c:pt idx="4">
                <c:v>0.60675744969705647</c:v>
              </c:pt>
              <c:pt idx="5">
                <c:v>-0.29920970101113653</c:v>
              </c:pt>
              <c:pt idx="6">
                <c:v>-1.2610972342016566</c:v>
              </c:pt>
              <c:pt idx="7">
                <c:v>-2.2867723949378274</c:v>
              </c:pt>
              <c:pt idx="8">
                <c:v>-3.3859283213500362</c:v>
              </c:pt>
              <c:pt idx="9">
                <c:v>-4.5707038033519325</c:v>
              </c:pt>
              <c:pt idx="10">
                <c:v>-5.8565926950865332</c:v>
              </c:pt>
              <c:pt idx="11">
                <c:v>-7.2638232976329391</c:v>
              </c:pt>
              <c:pt idx="12">
                <c:v>-8.8195349325024495</c:v>
              </c:pt>
              <c:pt idx="13">
                <c:v>-10.561381408004934</c:v>
              </c:pt>
              <c:pt idx="14">
                <c:v>-12.543863884669918</c:v>
              </c:pt>
              <c:pt idx="15">
                <c:v>-14.850344778352394</c:v>
              </c:pt>
              <c:pt idx="16">
                <c:v>-17.618282776796406</c:v>
              </c:pt>
              <c:pt idx="17">
                <c:v>-21.100428587287752</c:v>
              </c:pt>
              <c:pt idx="18">
                <c:v>-25.850134368564909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4"/>
          <c:order val="4"/>
          <c:tx>
            <c:v>3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9"/>
              <c:pt idx="0">
                <c:v>-3.3422266572235912</c:v>
              </c:pt>
              <c:pt idx="1">
                <c:v>-4.0421408649348223</c:v>
              </c:pt>
              <c:pt idx="2">
                <c:v>-4.7759857486698252</c:v>
              </c:pt>
              <c:pt idx="3">
                <c:v>-5.5474472532764025</c:v>
              </c:pt>
              <c:pt idx="4">
                <c:v>-6.3608597103597617</c:v>
              </c:pt>
              <c:pt idx="5">
                <c:v>-7.2213691363153885</c:v>
              </c:pt>
              <c:pt idx="6">
                <c:v>-8.1351517754810061</c:v>
              </c:pt>
              <c:pt idx="7">
                <c:v>-9.109712066258794</c:v>
              </c:pt>
              <c:pt idx="8">
                <c:v>-10.15429757844305</c:v>
              </c:pt>
              <c:pt idx="9">
                <c:v>-11.280491047329406</c:v>
              </c:pt>
              <c:pt idx="10">
                <c:v>-12.503079243575939</c:v>
              </c:pt>
              <c:pt idx="11">
                <c:v>-13.841371090351004</c:v>
              </c:pt>
              <c:pt idx="12">
                <c:v>-15.321277957248356</c:v>
              </c:pt>
              <c:pt idx="13">
                <c:v>-16.978758445653739</c:v>
              </c:pt>
              <c:pt idx="14">
                <c:v>-18.865873784594442</c:v>
              </c:pt>
              <c:pt idx="15">
                <c:v>-21.062278365640935</c:v>
              </c:pt>
              <c:pt idx="16">
                <c:v>-23.6993627593599</c:v>
              </c:pt>
              <c:pt idx="17">
                <c:v>-27.018822629867714</c:v>
              </c:pt>
              <c:pt idx="18">
                <c:v>-31.550095869880124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5"/>
          <c:order val="5"/>
          <c:tx>
            <c:v>2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9"/>
              <c:pt idx="0">
                <c:v>-8.7565413835486083</c:v>
              </c:pt>
              <c:pt idx="1">
                <c:v>-9.4286816510654603</c:v>
              </c:pt>
              <c:pt idx="2">
                <c:v>-10.133481318420422</c:v>
              </c:pt>
              <c:pt idx="3">
                <c:v>-10.874491726651684</c:v>
              </c:pt>
              <c:pt idx="4">
                <c:v>-11.655889319788628</c:v>
              </c:pt>
              <c:pt idx="5">
                <c:v>-12.482633152510573</c:v>
              </c:pt>
              <c:pt idx="6">
                <c:v>-13.360675704029291</c:v>
              </c:pt>
              <c:pt idx="7">
                <c:v>-14.297250334909336</c:v>
              </c:pt>
              <c:pt idx="8">
                <c:v>-15.30127163235818</c:v>
              </c:pt>
              <c:pt idx="9">
                <c:v>-16.383906689685659</c:v>
              </c:pt>
              <c:pt idx="10">
                <c:v>-17.559413619601429</c:v>
              </c:pt>
              <c:pt idx="11">
                <c:v>-18.846413787908517</c:v>
              </c:pt>
              <c:pt idx="12">
                <c:v>-20.269899983175378</c:v>
              </c:pt>
              <c:pt idx="13">
                <c:v>-21.864562299843215</c:v>
              </c:pt>
              <c:pt idx="14">
                <c:v>-23.680635558627898</c:v>
              </c:pt>
              <c:pt idx="15">
                <c:v>-25.794997419806947</c:v>
              </c:pt>
              <c:pt idx="16">
                <c:v>-28.334492292609383</c:v>
              </c:pt>
              <c:pt idx="17">
                <c:v>-31.532528929826668</c:v>
              </c:pt>
              <c:pt idx="18">
                <c:v>-35.900606180906777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6"/>
          <c:order val="6"/>
          <c:tx>
            <c:v>1</c:v>
          </c:tx>
          <c:spPr>
            <a:ln w="19050">
              <a:solidFill>
                <a:srgbClr val="FFC000"/>
              </a:solidFill>
              <a:prstDash val="sysDash"/>
            </a:ln>
          </c:spPr>
          <c:xVal>
            <c:numLit>
              <c:formatCode>General</c:formatCode>
              <c:ptCount val="19"/>
              <c:pt idx="0">
                <c:v>-17.539721603593335</c:v>
              </c:pt>
              <c:pt idx="1">
                <c:v>-18.167999538738883</c:v>
              </c:pt>
              <c:pt idx="2">
                <c:v>-18.826919594419223</c:v>
              </c:pt>
              <c:pt idx="3">
                <c:v>-19.519819101426748</c:v>
              </c:pt>
              <c:pt idx="4">
                <c:v>-20.250623427995947</c:v>
              </c:pt>
              <c:pt idx="5">
                <c:v>-21.023994261254018</c:v>
              </c:pt>
              <c:pt idx="6">
                <c:v>-21.845528103244362</c:v>
              </c:pt>
              <c:pt idx="7">
                <c:v>-22.722026976166177</c:v>
              </c:pt>
              <c:pt idx="8">
                <c:v>-23.661875503452876</c:v>
              </c:pt>
              <c:pt idx="9">
                <c:v>-24.675579092548702</c:v>
              </c:pt>
              <c:pt idx="10">
                <c:v>-25.776554028123655</c:v>
              </c:pt>
              <c:pt idx="11">
                <c:v>-26.98232650067348</c:v>
              </c:pt>
              <c:pt idx="12">
                <c:v>-28.316425672616504</c:v>
              </c:pt>
              <c:pt idx="13">
                <c:v>-29.811519745638236</c:v>
              </c:pt>
              <c:pt idx="14">
                <c:v>-31.514931254087003</c:v>
              </c:pt>
              <c:pt idx="15">
                <c:v>-33.499108254354184</c:v>
              </c:pt>
              <c:pt idx="16">
                <c:v>-35.88363905458246</c:v>
              </c:pt>
              <c:pt idx="17">
                <c:v>-38.888697335160003</c:v>
              </c:pt>
              <c:pt idx="18">
                <c:v>-42.997108065241974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7"/>
          <c:order val="7"/>
          <c:tx>
            <c:v>0.6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9"/>
              <c:pt idx="0">
                <c:v>-23.654362257354649</c:v>
              </c:pt>
              <c:pt idx="1">
                <c:v>-24.252975928516463</c:v>
              </c:pt>
              <c:pt idx="2">
                <c:v>-24.880860584489938</c:v>
              </c:pt>
              <c:pt idx="3">
                <c:v>-25.541207792975257</c:v>
              </c:pt>
              <c:pt idx="4">
                <c:v>-26.237771880421377</c:v>
              </c:pt>
              <c:pt idx="5">
                <c:v>-26.975011915079335</c:v>
              </c:pt>
              <c:pt idx="6">
                <c:v>-27.758281792419467</c:v>
              </c:pt>
              <c:pt idx="7">
                <c:v>-28.594089500055418</c:v>
              </c:pt>
              <c:pt idx="8">
                <c:v>-29.49045830726493</c:v>
              </c:pt>
              <c:pt idx="9">
                <c:v>-30.457442334406352</c:v>
              </c:pt>
              <c:pt idx="10">
                <c:v>-31.507883554648373</c:v>
              </c:pt>
              <c:pt idx="11">
                <c:v>-32.658560778676105</c:v>
              </c:pt>
              <c:pt idx="12">
                <c:v>-33.932004011066141</c:v>
              </c:pt>
              <c:pt idx="13">
                <c:v>-35.359500675803787</c:v>
              </c:pt>
              <c:pt idx="14">
                <c:v>-36.986383637843005</c:v>
              </c:pt>
              <c:pt idx="15">
                <c:v>-38.882073215521501</c:v>
              </c:pt>
              <c:pt idx="16">
                <c:v>-41.161195246660071</c:v>
              </c:pt>
              <c:pt idx="17">
                <c:v>-44.03486581914342</c:v>
              </c:pt>
              <c:pt idx="18">
                <c:v>-47.966269603426156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8"/>
          <c:order val="8"/>
          <c:tx>
            <c:v>0.2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9"/>
              <c:pt idx="0">
                <c:v>-35.870043982014266</c:v>
              </c:pt>
              <c:pt idx="1">
                <c:v>-36.411538226579125</c:v>
              </c:pt>
              <c:pt idx="2">
                <c:v>-36.979647171125691</c:v>
              </c:pt>
              <c:pt idx="3">
                <c:v>-37.577279278913522</c:v>
              </c:pt>
              <c:pt idx="4">
                <c:v>-38.207856595390041</c:v>
              </c:pt>
              <c:pt idx="5">
                <c:v>-38.875444463749034</c:v>
              </c:pt>
              <c:pt idx="6">
                <c:v>-39.584925224896494</c:v>
              </c:pt>
              <c:pt idx="7">
                <c:v>-40.342235188743672</c:v>
              </c:pt>
              <c:pt idx="8">
                <c:v>-41.154694847536803</c:v>
              </c:pt>
              <c:pt idx="9">
                <c:v>-42.031480353906232</c:v>
              </c:pt>
              <c:pt idx="10">
                <c:v>-42.984315980789205</c:v>
              </c:pt>
              <c:pt idx="11">
                <c:v>-44.028525467099342</c:v>
              </c:pt>
              <c:pt idx="12">
                <c:v>-45.184692749218215</c:v>
              </c:pt>
              <c:pt idx="13">
                <c:v>-46.481414659152676</c:v>
              </c:pt>
              <c:pt idx="14">
                <c:v>-47.960144976629266</c:v>
              </c:pt>
              <c:pt idx="15">
                <c:v>-49.684397624224999</c:v>
              </c:pt>
              <c:pt idx="16">
                <c:v>-51.75911117785418</c:v>
              </c:pt>
              <c:pt idx="17">
                <c:v>-54.377705616804803</c:v>
              </c:pt>
              <c:pt idx="18">
                <c:v>-57.96495257716532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9"/>
          <c:order val="9"/>
          <c:tx>
            <c:v>0.1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9"/>
              <c:pt idx="0">
                <c:v>-42.982715713823211</c:v>
              </c:pt>
              <c:pt idx="1">
                <c:v>-43.492267860762695</c:v>
              </c:pt>
              <c:pt idx="2">
                <c:v>-44.026939687342434</c:v>
              </c:pt>
              <c:pt idx="3">
                <c:v>-44.589479886661309</c:v>
              </c:pt>
              <c:pt idx="4">
                <c:v>-45.183122933107995</c:v>
              </c:pt>
              <c:pt idx="5">
                <c:v>-45.811711853844599</c:v>
              </c:pt>
              <c:pt idx="6">
                <c:v>-46.479862651299044</c:v>
              </c:pt>
              <c:pt idx="7">
                <c:v>-47.193188648291596</c:v>
              </c:pt>
              <c:pt idx="8">
                <c:v>-47.958613152629511</c:v>
              </c:pt>
              <c:pt idx="9">
                <c:v>-48.784815948554751</c:v>
              </c:pt>
              <c:pt idx="10">
                <c:v>-49.682889168494285</c:v>
              </c:pt>
              <c:pt idx="11">
                <c:v>-50.667333267906599</c:v>
              </c:pt>
              <c:pt idx="12">
                <c:v>-51.757630601992247</c:v>
              </c:pt>
              <c:pt idx="13">
                <c:v>-52.980854229415002</c:v>
              </c:pt>
              <c:pt idx="14">
                <c:v>-54.376259858200314</c:v>
              </c:pt>
              <c:pt idx="15">
                <c:v>-56.004012459408443</c:v>
              </c:pt>
              <c:pt idx="16">
                <c:v>-57.963553842700577</c:v>
              </c:pt>
              <c:pt idx="17">
                <c:v>-60.4382538622705</c:v>
              </c:pt>
              <c:pt idx="18">
                <c:v>-63.831043232934434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10"/>
          <c:order val="10"/>
          <c:tx>
            <c:v>TAUPUNKT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FFC000"/>
                </a:solidFill>
              </c:spPr>
            </c:marker>
            <c:bubble3D val="0"/>
          </c:dPt>
          <c:xVal>
            <c:numLit>
              <c:formatCode>General</c:formatCode>
              <c:ptCount val="19"/>
              <c:pt idx="0">
                <c:v>11.999991573556656</c:v>
              </c:pt>
              <c:pt idx="1">
                <c:v>11.218330361893493</c:v>
              </c:pt>
              <c:pt idx="2">
                <c:v>10.399023087899934</c:v>
              </c:pt>
              <c:pt idx="3">
                <c:v>9.5379915456551316</c:v>
              </c:pt>
              <c:pt idx="4">
                <c:v>8.6304414121733544</c:v>
              </c:pt>
              <c:pt idx="5">
                <c:v>7.6706821282493252</c:v>
              </c:pt>
              <c:pt idx="6">
                <c:v>6.6518859077074808</c:v>
              </c:pt>
              <c:pt idx="7">
                <c:v>5.5657592585037037</c:v>
              </c:pt>
              <c:pt idx="8">
                <c:v>4.4020856916044409</c:v>
              </c:pt>
              <c:pt idx="9">
                <c:v>3.1480734654087996</c:v>
              </c:pt>
              <c:pt idx="10">
                <c:v>1.7873986641889701</c:v>
              </c:pt>
              <c:pt idx="11">
                <c:v>0.29875404217540336</c:v>
              </c:pt>
              <c:pt idx="12">
                <c:v>-1.3464403086214816</c:v>
              </c:pt>
              <c:pt idx="13">
                <c:v>-3.1878262041734047</c:v>
              </c:pt>
              <c:pt idx="14">
                <c:v>-5.2827649684513744</c:v>
              </c:pt>
              <c:pt idx="15">
                <c:v>-7.7189636024920674</c:v>
              </c:pt>
              <c:pt idx="16">
                <c:v>-10.640986670688278</c:v>
              </c:pt>
              <c:pt idx="17">
                <c:v>-14.31452182031569</c:v>
              </c:pt>
              <c:pt idx="18">
                <c:v>-19.320882202911463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16096"/>
        <c:axId val="96134272"/>
      </c:scatterChart>
      <c:valAx>
        <c:axId val="96116096"/>
        <c:scaling>
          <c:orientation val="minMax"/>
          <c:max val="40"/>
          <c:min val="-70"/>
        </c:scaling>
        <c:delete val="0"/>
        <c:axPos val="t"/>
        <c:majorGridlines/>
        <c:numFmt formatCode="0" sourceLinked="0"/>
        <c:majorTickMark val="out"/>
        <c:minorTickMark val="none"/>
        <c:tickLblPos val="high"/>
        <c:crossAx val="96134272"/>
        <c:crosses val="autoZero"/>
        <c:crossBetween val="midCat"/>
        <c:majorUnit val="5"/>
      </c:valAx>
      <c:valAx>
        <c:axId val="96134272"/>
        <c:scaling>
          <c:orientation val="maxMin"/>
          <c:max val="1000"/>
          <c:min val="100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96116096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de-DE" sz="1400" b="0"/>
              <a:t>Sättigungsmischungsverhältnis (g Wasserdampf/ kg trockene Luft)</a:t>
            </a:r>
          </a:p>
        </c:rich>
      </c:tx>
      <c:layout>
        <c:manualLayout>
          <c:xMode val="edge"/>
          <c:yMode val="edge"/>
          <c:x val="0.16239506518475286"/>
          <c:y val="2.64681577988496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05557529120042"/>
          <c:y val="0.10609875679549111"/>
          <c:w val="0.85125691143528825"/>
          <c:h val="0.79894307991403757"/>
        </c:manualLayout>
      </c:layout>
      <c:scatterChart>
        <c:scatterStyle val="lineMarker"/>
        <c:varyColors val="0"/>
        <c:ser>
          <c:idx val="0"/>
          <c:order val="0"/>
          <c:tx>
            <c:v>30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9"/>
              <c:pt idx="0">
                <c:v>31.583242654172011</c:v>
              </c:pt>
              <c:pt idx="1">
                <c:v>30.690698419520515</c:v>
              </c:pt>
              <c:pt idx="2">
                <c:v>29.75552840576978</c:v>
              </c:pt>
              <c:pt idx="3">
                <c:v>28.773131168824875</c:v>
              </c:pt>
              <c:pt idx="4">
                <c:v>27.738099073608339</c:v>
              </c:pt>
              <c:pt idx="5">
                <c:v>26.644015854230418</c:v>
              </c:pt>
              <c:pt idx="6">
                <c:v>25.483185849778692</c:v>
              </c:pt>
              <c:pt idx="7">
                <c:v>24.246265073722043</c:v>
              </c:pt>
              <c:pt idx="8">
                <c:v>22.921747801181141</c:v>
              </c:pt>
              <c:pt idx="9">
                <c:v>21.495234558490836</c:v>
              </c:pt>
              <c:pt idx="10">
                <c:v>19.948358656429548</c:v>
              </c:pt>
              <c:pt idx="11">
                <c:v>18.257159053330497</c:v>
              </c:pt>
              <c:pt idx="12">
                <c:v>16.389514697946822</c:v>
              </c:pt>
              <c:pt idx="13">
                <c:v>14.300900283853537</c:v>
              </c:pt>
              <c:pt idx="14">
                <c:v>11.926933851298429</c:v>
              </c:pt>
              <c:pt idx="15">
                <c:v>9.1692531915850282</c:v>
              </c:pt>
              <c:pt idx="16">
                <c:v>5.8658837896919636</c:v>
              </c:pt>
              <c:pt idx="17">
                <c:v>1.7194797044707002</c:v>
              </c:pt>
              <c:pt idx="18">
                <c:v>-3.9195904397782897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1"/>
          <c:order val="1"/>
          <c:tx>
            <c:v>20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9"/>
              <c:pt idx="0">
                <c:v>24.925545747899037</c:v>
              </c:pt>
              <c:pt idx="1">
                <c:v>24.071520775302531</c:v>
              </c:pt>
              <c:pt idx="2">
                <c:v>23.176592343097184</c:v>
              </c:pt>
              <c:pt idx="3">
                <c:v>22.236339663662136</c:v>
              </c:pt>
              <c:pt idx="4">
                <c:v>21.245566823887714</c:v>
              </c:pt>
              <c:pt idx="5">
                <c:v>20.198108037305133</c:v>
              </c:pt>
              <c:pt idx="6">
                <c:v>19.086567138497514</c:v>
              </c:pt>
              <c:pt idx="7">
                <c:v>17.901962588000629</c:v>
              </c:pt>
              <c:pt idx="8">
                <c:v>16.633233389805753</c:v>
              </c:pt>
              <c:pt idx="9">
                <c:v>15.266534545953448</c:v>
              </c:pt>
              <c:pt idx="10">
                <c:v>13.784203715877254</c:v>
              </c:pt>
              <c:pt idx="11">
                <c:v>12.163194655554776</c:v>
              </c:pt>
              <c:pt idx="12">
                <c:v>10.372606653483047</c:v>
              </c:pt>
              <c:pt idx="13">
                <c:v>8.3695968243833931</c:v>
              </c:pt>
              <c:pt idx="14">
                <c:v>6.0922010735839649</c:v>
              </c:pt>
              <c:pt idx="15">
                <c:v>3.445725351268436</c:v>
              </c:pt>
              <c:pt idx="16">
                <c:v>0.27418596168905651</c:v>
              </c:pt>
              <c:pt idx="17">
                <c:v>-3.7088753018123271</c:v>
              </c:pt>
              <c:pt idx="18">
                <c:v>-9.1296107694814737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2"/>
          <c:order val="2"/>
          <c:tx>
            <c:v>10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9"/>
              <c:pt idx="0">
                <c:v>14.027315111293319</c:v>
              </c:pt>
              <c:pt idx="1">
                <c:v>13.234515126607903</c:v>
              </c:pt>
              <c:pt idx="2">
                <c:v>12.403565787449736</c:v>
              </c:pt>
              <c:pt idx="3">
                <c:v>11.530335877198922</c:v>
              </c:pt>
              <c:pt idx="4">
                <c:v>10.60996892267417</c:v>
              </c:pt>
              <c:pt idx="5">
                <c:v>9.6367008076443312</c:v>
              </c:pt>
              <c:pt idx="6">
                <c:v>8.6036157570149498</c:v>
              </c:pt>
              <c:pt idx="7">
                <c:v>7.5023137469579524</c:v>
              </c:pt>
              <c:pt idx="8">
                <c:v>6.3224475089047019</c:v>
              </c:pt>
              <c:pt idx="9">
                <c:v>5.0510621645331071</c:v>
              </c:pt>
              <c:pt idx="10">
                <c:v>3.6716264505349727</c:v>
              </c:pt>
              <c:pt idx="11">
                <c:v>2.1625636583166852</c:v>
              </c:pt>
              <c:pt idx="12">
                <c:v>0.49493417886640145</c:v>
              </c:pt>
              <c:pt idx="13">
                <c:v>-1.3714000678415914</c:v>
              </c:pt>
              <c:pt idx="14">
                <c:v>-3.4945141870851444</c:v>
              </c:pt>
              <c:pt idx="15">
                <c:v>-5.9631990704775717</c:v>
              </c:pt>
              <c:pt idx="16">
                <c:v>-8.9237914090625736</c:v>
              </c:pt>
              <c:pt idx="17">
                <c:v>-12.645203742622925</c:v>
              </c:pt>
              <c:pt idx="18">
                <c:v>-17.715715296103554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3"/>
          <c:order val="3"/>
          <c:tx>
            <c:v>5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9"/>
              <c:pt idx="0">
                <c:v>3.7860616044284825</c:v>
              </c:pt>
              <c:pt idx="1">
                <c:v>3.0487260890131438</c:v>
              </c:pt>
              <c:pt idx="2">
                <c:v>2.2757542964467348</c:v>
              </c:pt>
              <c:pt idx="3">
                <c:v>1.463280003484158</c:v>
              </c:pt>
              <c:pt idx="4">
                <c:v>0.60675744969705647</c:v>
              </c:pt>
              <c:pt idx="5">
                <c:v>-0.29920970101113653</c:v>
              </c:pt>
              <c:pt idx="6">
                <c:v>-1.2610972342016566</c:v>
              </c:pt>
              <c:pt idx="7">
                <c:v>-2.2867723949378274</c:v>
              </c:pt>
              <c:pt idx="8">
                <c:v>-3.3859283213500362</c:v>
              </c:pt>
              <c:pt idx="9">
                <c:v>-4.5707038033519325</c:v>
              </c:pt>
              <c:pt idx="10">
                <c:v>-5.8565926950865332</c:v>
              </c:pt>
              <c:pt idx="11">
                <c:v>-7.2638232976329391</c:v>
              </c:pt>
              <c:pt idx="12">
                <c:v>-8.8195349325024495</c:v>
              </c:pt>
              <c:pt idx="13">
                <c:v>-10.561381408004934</c:v>
              </c:pt>
              <c:pt idx="14">
                <c:v>-12.543863884669918</c:v>
              </c:pt>
              <c:pt idx="15">
                <c:v>-14.850344778352394</c:v>
              </c:pt>
              <c:pt idx="16">
                <c:v>-17.618282776796406</c:v>
              </c:pt>
              <c:pt idx="17">
                <c:v>-21.100428587287752</c:v>
              </c:pt>
              <c:pt idx="18">
                <c:v>-25.850134368564909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4"/>
          <c:order val="4"/>
          <c:tx>
            <c:v>3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9"/>
              <c:pt idx="0">
                <c:v>-3.3422266572235912</c:v>
              </c:pt>
              <c:pt idx="1">
                <c:v>-4.0421408649348223</c:v>
              </c:pt>
              <c:pt idx="2">
                <c:v>-4.7759857486698252</c:v>
              </c:pt>
              <c:pt idx="3">
                <c:v>-5.5474472532764025</c:v>
              </c:pt>
              <c:pt idx="4">
                <c:v>-6.3608597103597617</c:v>
              </c:pt>
              <c:pt idx="5">
                <c:v>-7.2213691363153885</c:v>
              </c:pt>
              <c:pt idx="6">
                <c:v>-8.1351517754810061</c:v>
              </c:pt>
              <c:pt idx="7">
                <c:v>-9.109712066258794</c:v>
              </c:pt>
              <c:pt idx="8">
                <c:v>-10.15429757844305</c:v>
              </c:pt>
              <c:pt idx="9">
                <c:v>-11.280491047329406</c:v>
              </c:pt>
              <c:pt idx="10">
                <c:v>-12.503079243575939</c:v>
              </c:pt>
              <c:pt idx="11">
                <c:v>-13.841371090351004</c:v>
              </c:pt>
              <c:pt idx="12">
                <c:v>-15.321277957248356</c:v>
              </c:pt>
              <c:pt idx="13">
                <c:v>-16.978758445653739</c:v>
              </c:pt>
              <c:pt idx="14">
                <c:v>-18.865873784594442</c:v>
              </c:pt>
              <c:pt idx="15">
                <c:v>-21.062278365640935</c:v>
              </c:pt>
              <c:pt idx="16">
                <c:v>-23.6993627593599</c:v>
              </c:pt>
              <c:pt idx="17">
                <c:v>-27.018822629867714</c:v>
              </c:pt>
              <c:pt idx="18">
                <c:v>-31.550095869880124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5"/>
          <c:order val="5"/>
          <c:tx>
            <c:v>2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9"/>
              <c:pt idx="0">
                <c:v>-8.7565413835486083</c:v>
              </c:pt>
              <c:pt idx="1">
                <c:v>-9.4286816510654603</c:v>
              </c:pt>
              <c:pt idx="2">
                <c:v>-10.133481318420422</c:v>
              </c:pt>
              <c:pt idx="3">
                <c:v>-10.874491726651684</c:v>
              </c:pt>
              <c:pt idx="4">
                <c:v>-11.655889319788628</c:v>
              </c:pt>
              <c:pt idx="5">
                <c:v>-12.482633152510573</c:v>
              </c:pt>
              <c:pt idx="6">
                <c:v>-13.360675704029291</c:v>
              </c:pt>
              <c:pt idx="7">
                <c:v>-14.297250334909336</c:v>
              </c:pt>
              <c:pt idx="8">
                <c:v>-15.30127163235818</c:v>
              </c:pt>
              <c:pt idx="9">
                <c:v>-16.383906689685659</c:v>
              </c:pt>
              <c:pt idx="10">
                <c:v>-17.559413619601429</c:v>
              </c:pt>
              <c:pt idx="11">
                <c:v>-18.846413787908517</c:v>
              </c:pt>
              <c:pt idx="12">
                <c:v>-20.269899983175378</c:v>
              </c:pt>
              <c:pt idx="13">
                <c:v>-21.864562299843215</c:v>
              </c:pt>
              <c:pt idx="14">
                <c:v>-23.680635558627898</c:v>
              </c:pt>
              <c:pt idx="15">
                <c:v>-25.794997419806947</c:v>
              </c:pt>
              <c:pt idx="16">
                <c:v>-28.334492292609383</c:v>
              </c:pt>
              <c:pt idx="17">
                <c:v>-31.532528929826668</c:v>
              </c:pt>
              <c:pt idx="18">
                <c:v>-35.900606180906777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6"/>
          <c:order val="6"/>
          <c:tx>
            <c:v>1</c:v>
          </c:tx>
          <c:spPr>
            <a:ln w="19050">
              <a:solidFill>
                <a:srgbClr val="FFC000"/>
              </a:solidFill>
              <a:prstDash val="sysDash"/>
            </a:ln>
          </c:spP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Lit>
              <c:formatCode>General</c:formatCode>
              <c:ptCount val="19"/>
              <c:pt idx="0">
                <c:v>-17.539721603593335</c:v>
              </c:pt>
              <c:pt idx="1">
                <c:v>-18.167999538738883</c:v>
              </c:pt>
              <c:pt idx="2">
                <c:v>-18.826919594419223</c:v>
              </c:pt>
              <c:pt idx="3">
                <c:v>-19.519819101426748</c:v>
              </c:pt>
              <c:pt idx="4">
                <c:v>-20.250623427995947</c:v>
              </c:pt>
              <c:pt idx="5">
                <c:v>-21.023994261254018</c:v>
              </c:pt>
              <c:pt idx="6">
                <c:v>-21.845528103244362</c:v>
              </c:pt>
              <c:pt idx="7">
                <c:v>-22.722026976166177</c:v>
              </c:pt>
              <c:pt idx="8">
                <c:v>-23.661875503452876</c:v>
              </c:pt>
              <c:pt idx="9">
                <c:v>-24.675579092548702</c:v>
              </c:pt>
              <c:pt idx="10">
                <c:v>-25.776554028123655</c:v>
              </c:pt>
              <c:pt idx="11">
                <c:v>-26.98232650067348</c:v>
              </c:pt>
              <c:pt idx="12">
                <c:v>-28.316425672616504</c:v>
              </c:pt>
              <c:pt idx="13">
                <c:v>-29.811519745638236</c:v>
              </c:pt>
              <c:pt idx="14">
                <c:v>-31.514931254087003</c:v>
              </c:pt>
              <c:pt idx="15">
                <c:v>-33.499108254354184</c:v>
              </c:pt>
              <c:pt idx="16">
                <c:v>-35.88363905458246</c:v>
              </c:pt>
              <c:pt idx="17">
                <c:v>-38.888697335160003</c:v>
              </c:pt>
              <c:pt idx="18">
                <c:v>-42.997108065241974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7"/>
          <c:order val="7"/>
          <c:tx>
            <c:v>0.6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9"/>
              <c:pt idx="0">
                <c:v>-23.654362257354649</c:v>
              </c:pt>
              <c:pt idx="1">
                <c:v>-24.252975928516463</c:v>
              </c:pt>
              <c:pt idx="2">
                <c:v>-24.880860584489938</c:v>
              </c:pt>
              <c:pt idx="3">
                <c:v>-25.541207792975257</c:v>
              </c:pt>
              <c:pt idx="4">
                <c:v>-26.237771880421377</c:v>
              </c:pt>
              <c:pt idx="5">
                <c:v>-26.975011915079335</c:v>
              </c:pt>
              <c:pt idx="6">
                <c:v>-27.758281792419467</c:v>
              </c:pt>
              <c:pt idx="7">
                <c:v>-28.594089500055418</c:v>
              </c:pt>
              <c:pt idx="8">
                <c:v>-29.49045830726493</c:v>
              </c:pt>
              <c:pt idx="9">
                <c:v>-30.457442334406352</c:v>
              </c:pt>
              <c:pt idx="10">
                <c:v>-31.507883554648373</c:v>
              </c:pt>
              <c:pt idx="11">
                <c:v>-32.658560778676105</c:v>
              </c:pt>
              <c:pt idx="12">
                <c:v>-33.932004011066141</c:v>
              </c:pt>
              <c:pt idx="13">
                <c:v>-35.359500675803787</c:v>
              </c:pt>
              <c:pt idx="14">
                <c:v>-36.986383637843005</c:v>
              </c:pt>
              <c:pt idx="15">
                <c:v>-38.882073215521501</c:v>
              </c:pt>
              <c:pt idx="16">
                <c:v>-41.161195246660071</c:v>
              </c:pt>
              <c:pt idx="17">
                <c:v>-44.03486581914342</c:v>
              </c:pt>
              <c:pt idx="18">
                <c:v>-47.966269603426156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8"/>
          <c:order val="8"/>
          <c:tx>
            <c:v>0.2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9"/>
              <c:pt idx="0">
                <c:v>-35.870043982014266</c:v>
              </c:pt>
              <c:pt idx="1">
                <c:v>-36.411538226579125</c:v>
              </c:pt>
              <c:pt idx="2">
                <c:v>-36.979647171125691</c:v>
              </c:pt>
              <c:pt idx="3">
                <c:v>-37.577279278913522</c:v>
              </c:pt>
              <c:pt idx="4">
                <c:v>-38.207856595390041</c:v>
              </c:pt>
              <c:pt idx="5">
                <c:v>-38.875444463749034</c:v>
              </c:pt>
              <c:pt idx="6">
                <c:v>-39.584925224896494</c:v>
              </c:pt>
              <c:pt idx="7">
                <c:v>-40.342235188743672</c:v>
              </c:pt>
              <c:pt idx="8">
                <c:v>-41.154694847536803</c:v>
              </c:pt>
              <c:pt idx="9">
                <c:v>-42.031480353906232</c:v>
              </c:pt>
              <c:pt idx="10">
                <c:v>-42.984315980789205</c:v>
              </c:pt>
              <c:pt idx="11">
                <c:v>-44.028525467099342</c:v>
              </c:pt>
              <c:pt idx="12">
                <c:v>-45.184692749218215</c:v>
              </c:pt>
              <c:pt idx="13">
                <c:v>-46.481414659152676</c:v>
              </c:pt>
              <c:pt idx="14">
                <c:v>-47.960144976629266</c:v>
              </c:pt>
              <c:pt idx="15">
                <c:v>-49.684397624224999</c:v>
              </c:pt>
              <c:pt idx="16">
                <c:v>-51.75911117785418</c:v>
              </c:pt>
              <c:pt idx="17">
                <c:v>-54.377705616804803</c:v>
              </c:pt>
              <c:pt idx="18">
                <c:v>-57.96495257716532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ser>
          <c:idx val="9"/>
          <c:order val="9"/>
          <c:tx>
            <c:v>0.1</c:v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9"/>
              <c:pt idx="0">
                <c:v>-42.982715713823211</c:v>
              </c:pt>
              <c:pt idx="1">
                <c:v>-43.492267860762695</c:v>
              </c:pt>
              <c:pt idx="2">
                <c:v>-44.026939687342434</c:v>
              </c:pt>
              <c:pt idx="3">
                <c:v>-44.589479886661309</c:v>
              </c:pt>
              <c:pt idx="4">
                <c:v>-45.183122933107995</c:v>
              </c:pt>
              <c:pt idx="5">
                <c:v>-45.811711853844599</c:v>
              </c:pt>
              <c:pt idx="6">
                <c:v>-46.479862651299044</c:v>
              </c:pt>
              <c:pt idx="7">
                <c:v>-47.193188648291596</c:v>
              </c:pt>
              <c:pt idx="8">
                <c:v>-47.958613152629511</c:v>
              </c:pt>
              <c:pt idx="9">
                <c:v>-48.784815948554751</c:v>
              </c:pt>
              <c:pt idx="10">
                <c:v>-49.682889168494285</c:v>
              </c:pt>
              <c:pt idx="11">
                <c:v>-50.667333267906599</c:v>
              </c:pt>
              <c:pt idx="12">
                <c:v>-51.757630601992247</c:v>
              </c:pt>
              <c:pt idx="13">
                <c:v>-52.980854229415002</c:v>
              </c:pt>
              <c:pt idx="14">
                <c:v>-54.376259858200314</c:v>
              </c:pt>
              <c:pt idx="15">
                <c:v>-56.004012459408443</c:v>
              </c:pt>
              <c:pt idx="16">
                <c:v>-57.963553842700577</c:v>
              </c:pt>
              <c:pt idx="17">
                <c:v>-60.4382538622705</c:v>
              </c:pt>
              <c:pt idx="18">
                <c:v>-63.831043232934434</c:v>
              </c:pt>
            </c:numLit>
          </c:xVal>
          <c:yVal>
            <c:numLit>
              <c:formatCode>General</c:formatCode>
              <c:ptCount val="19"/>
              <c:pt idx="0">
                <c:v>1000</c:v>
              </c:pt>
              <c:pt idx="1">
                <c:v>950</c:v>
              </c:pt>
              <c:pt idx="2">
                <c:v>900</c:v>
              </c:pt>
              <c:pt idx="3">
                <c:v>850</c:v>
              </c:pt>
              <c:pt idx="4">
                <c:v>800</c:v>
              </c:pt>
              <c:pt idx="5">
                <c:v>750</c:v>
              </c:pt>
              <c:pt idx="6">
                <c:v>700</c:v>
              </c:pt>
              <c:pt idx="7">
                <c:v>650</c:v>
              </c:pt>
              <c:pt idx="8">
                <c:v>600</c:v>
              </c:pt>
              <c:pt idx="9">
                <c:v>550</c:v>
              </c:pt>
              <c:pt idx="10">
                <c:v>500</c:v>
              </c:pt>
              <c:pt idx="11">
                <c:v>450</c:v>
              </c:pt>
              <c:pt idx="12">
                <c:v>400</c:v>
              </c:pt>
              <c:pt idx="13">
                <c:v>350</c:v>
              </c:pt>
              <c:pt idx="14">
                <c:v>300</c:v>
              </c:pt>
              <c:pt idx="15">
                <c:v>250</c:v>
              </c:pt>
              <c:pt idx="16">
                <c:v>200</c:v>
              </c:pt>
              <c:pt idx="17">
                <c:v>150</c:v>
              </c:pt>
              <c:pt idx="18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6016"/>
        <c:axId val="102424576"/>
      </c:scatterChart>
      <c:valAx>
        <c:axId val="102406016"/>
        <c:scaling>
          <c:orientation val="minMax"/>
          <c:max val="40"/>
          <c:min val="-7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de-DE" sz="1400" b="0"/>
                  <a:t>T °C</a:t>
                </a:r>
              </a:p>
            </c:rich>
          </c:tx>
          <c:layout>
            <c:manualLayout>
              <c:xMode val="edge"/>
              <c:yMode val="edge"/>
              <c:x val="0.49802262719267198"/>
              <c:y val="0.95703891479163616"/>
            </c:manualLayout>
          </c:layout>
          <c:overlay val="0"/>
        </c:title>
        <c:numFmt formatCode="0" sourceLinked="0"/>
        <c:majorTickMark val="out"/>
        <c:minorTickMark val="none"/>
        <c:tickLblPos val="high"/>
        <c:crossAx val="102424576"/>
        <c:crosses val="autoZero"/>
        <c:crossBetween val="midCat"/>
        <c:majorUnit val="5"/>
      </c:valAx>
      <c:valAx>
        <c:axId val="102424576"/>
        <c:scaling>
          <c:orientation val="maxMin"/>
          <c:max val="100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de-DE" sz="1400" b="0"/>
                  <a:t>Luftdruck (hPa)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02406016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/>
              <a:t>Sättigungsmischungsverhältnis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5930446194225721E-2"/>
          <c:y val="0.11978877785393949"/>
          <c:w val="0.89943066491688539"/>
          <c:h val="0.82177288088841627"/>
        </c:manualLayout>
      </c:layout>
      <c:scatterChart>
        <c:scatterStyle val="lineMarker"/>
        <c:varyColors val="0"/>
        <c:ser>
          <c:idx val="0"/>
          <c:order val="0"/>
          <c:tx>
            <c:v>SÄTTIGUNGSMISCHUNGSVERHÄLTNIS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xVal>
            <c:numRef>
              <c:f>Sättigungsmischungsverhältnis!$BB$65:$BB$85</c:f>
              <c:numCache>
                <c:formatCode>0.00</c:formatCode>
                <c:ptCount val="21"/>
                <c:pt idx="0">
                  <c:v>24.99998164457304</c:v>
                </c:pt>
                <c:pt idx="1">
                  <c:v>24.15418444967014</c:v>
                </c:pt>
                <c:pt idx="2">
                  <c:v>23.268311686950085</c:v>
                </c:pt>
                <c:pt idx="3">
                  <c:v>22.338080988515344</c:v>
                </c:pt>
                <c:pt idx="4">
                  <c:v>21.358468124470903</c:v>
                </c:pt>
                <c:pt idx="5">
                  <c:v>20.323522988184095</c:v>
                </c:pt>
                <c:pt idx="6">
                  <c:v>19.226124294327576</c:v>
                </c:pt>
                <c:pt idx="7">
                  <c:v>18.057646602961029</c:v>
                </c:pt>
                <c:pt idx="8">
                  <c:v>16.807498941964354</c:v>
                </c:pt>
                <c:pt idx="9">
                  <c:v>15.46247026587281</c:v>
                </c:pt>
                <c:pt idx="10">
                  <c:v>14.005775183424532</c:v>
                </c:pt>
                <c:pt idx="11">
                  <c:v>12.415617460915769</c:v>
                </c:pt>
                <c:pt idx="12">
                  <c:v>10.662943737888668</c:v>
                </c:pt>
                <c:pt idx="13">
                  <c:v>8.7077653730082147</c:v>
                </c:pt>
                <c:pt idx="14">
                  <c:v>6.4927825335642524</c:v>
                </c:pt>
                <c:pt idx="15">
                  <c:v>3.9315010010717515</c:v>
                </c:pt>
                <c:pt idx="16">
                  <c:v>0.88386059112303883</c:v>
                </c:pt>
                <c:pt idx="17">
                  <c:v>-2.9008699731449497</c:v>
                </c:pt>
                <c:pt idx="18">
                  <c:v>-7.947727258533007</c:v>
                </c:pt>
                <c:pt idx="19">
                  <c:v>-15.724547169663708</c:v>
                </c:pt>
                <c:pt idx="20">
                  <c:v>-36.248458369359327</c:v>
                </c:pt>
              </c:numCache>
            </c:numRef>
          </c:xVal>
          <c:yVal>
            <c:numRef>
              <c:f>Sättigungsmischungsverhältnis!$BC$65:$BC$85</c:f>
              <c:numCache>
                <c:formatCode>General</c:formatCode>
                <c:ptCount val="21"/>
                <c:pt idx="0">
                  <c:v>1010</c:v>
                </c:pt>
                <c:pt idx="1">
                  <c:v>960</c:v>
                </c:pt>
                <c:pt idx="2">
                  <c:v>910</c:v>
                </c:pt>
                <c:pt idx="3">
                  <c:v>860</c:v>
                </c:pt>
                <c:pt idx="4">
                  <c:v>810</c:v>
                </c:pt>
                <c:pt idx="5">
                  <c:v>760</c:v>
                </c:pt>
                <c:pt idx="6">
                  <c:v>710</c:v>
                </c:pt>
                <c:pt idx="7">
                  <c:v>660</c:v>
                </c:pt>
                <c:pt idx="8">
                  <c:v>610</c:v>
                </c:pt>
                <c:pt idx="9">
                  <c:v>560</c:v>
                </c:pt>
                <c:pt idx="10">
                  <c:v>510</c:v>
                </c:pt>
                <c:pt idx="11">
                  <c:v>460</c:v>
                </c:pt>
                <c:pt idx="12">
                  <c:v>410</c:v>
                </c:pt>
                <c:pt idx="13">
                  <c:v>360</c:v>
                </c:pt>
                <c:pt idx="14">
                  <c:v>310</c:v>
                </c:pt>
                <c:pt idx="15">
                  <c:v>260</c:v>
                </c:pt>
                <c:pt idx="16">
                  <c:v>210</c:v>
                </c:pt>
                <c:pt idx="17">
                  <c:v>160</c:v>
                </c:pt>
                <c:pt idx="18">
                  <c:v>110</c:v>
                </c:pt>
                <c:pt idx="19">
                  <c:v>60</c:v>
                </c:pt>
                <c:pt idx="20">
                  <c:v>10.01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26336"/>
        <c:axId val="102127872"/>
      </c:scatterChart>
      <c:valAx>
        <c:axId val="102126336"/>
        <c:scaling>
          <c:orientation val="minMax"/>
          <c:max val="40"/>
          <c:min val="-100"/>
        </c:scaling>
        <c:delete val="0"/>
        <c:axPos val="t"/>
        <c:majorGridlines/>
        <c:numFmt formatCode="0" sourceLinked="0"/>
        <c:majorTickMark val="out"/>
        <c:minorTickMark val="none"/>
        <c:tickLblPos val="high"/>
        <c:crossAx val="102127872"/>
        <c:crosses val="autoZero"/>
        <c:crossBetween val="midCat"/>
        <c:majorUnit val="10"/>
      </c:valAx>
      <c:valAx>
        <c:axId val="102127872"/>
        <c:scaling>
          <c:orientation val="maxMin"/>
          <c:max val="1000"/>
          <c:min val="100"/>
        </c:scaling>
        <c:delete val="0"/>
        <c:axPos val="l"/>
        <c:majorGridlines/>
        <c:numFmt formatCode="0" sourceLinked="0"/>
        <c:majorTickMark val="out"/>
        <c:minorTickMark val="none"/>
        <c:tickLblPos val="low"/>
        <c:crossAx val="10212633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Spread °(C)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3328325140653564"/>
          <c:y val="6.2143599282139819E-2"/>
          <c:w val="0.73039189215375966"/>
          <c:h val="0.87057056985744663"/>
        </c:manualLayout>
      </c:layout>
      <c:scatterChart>
        <c:scatterStyle val="lineMarker"/>
        <c:varyColors val="0"/>
        <c:ser>
          <c:idx val="0"/>
          <c:order val="0"/>
          <c:tx>
            <c:v>SPREAD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'Daten Auswertung'!$BD$28:$BD$159</c:f>
              <c:numCache>
                <c:formatCode>0.0</c:formatCode>
                <c:ptCount val="132"/>
                <c:pt idx="0">
                  <c:v>3.1999999999999993</c:v>
                </c:pt>
                <c:pt idx="1">
                  <c:v>3.2000000000000028</c:v>
                </c:pt>
                <c:pt idx="2">
                  <c:v>2.8000000000000007</c:v>
                </c:pt>
                <c:pt idx="3">
                  <c:v>1.1000000000000014</c:v>
                </c:pt>
                <c:pt idx="4">
                  <c:v>0.19999999999999929</c:v>
                </c:pt>
                <c:pt idx="5">
                  <c:v>0.59999999999999787</c:v>
                </c:pt>
                <c:pt idx="6">
                  <c:v>0.80000000000000071</c:v>
                </c:pt>
                <c:pt idx="7">
                  <c:v>0.59999999999999787</c:v>
                </c:pt>
                <c:pt idx="8">
                  <c:v>0.40000000000000213</c:v>
                </c:pt>
                <c:pt idx="9">
                  <c:v>1.0999999999999979</c:v>
                </c:pt>
                <c:pt idx="10">
                  <c:v>2.2999999999999989</c:v>
                </c:pt>
                <c:pt idx="11">
                  <c:v>2.1999999999999993</c:v>
                </c:pt>
                <c:pt idx="12">
                  <c:v>3.8999999999999986</c:v>
                </c:pt>
                <c:pt idx="13">
                  <c:v>11</c:v>
                </c:pt>
                <c:pt idx="14">
                  <c:v>11.099999999999998</c:v>
                </c:pt>
                <c:pt idx="15">
                  <c:v>14</c:v>
                </c:pt>
                <c:pt idx="16">
                  <c:v>14.1</c:v>
                </c:pt>
                <c:pt idx="17">
                  <c:v>18</c:v>
                </c:pt>
                <c:pt idx="18">
                  <c:v>15</c:v>
                </c:pt>
                <c:pt idx="19">
                  <c:v>23.2</c:v>
                </c:pt>
                <c:pt idx="20">
                  <c:v>27</c:v>
                </c:pt>
                <c:pt idx="21">
                  <c:v>23</c:v>
                </c:pt>
                <c:pt idx="22">
                  <c:v>20.6</c:v>
                </c:pt>
                <c:pt idx="23">
                  <c:v>20</c:v>
                </c:pt>
                <c:pt idx="24">
                  <c:v>10.3</c:v>
                </c:pt>
                <c:pt idx="25">
                  <c:v>8</c:v>
                </c:pt>
                <c:pt idx="26">
                  <c:v>12.3</c:v>
                </c:pt>
                <c:pt idx="27">
                  <c:v>16.600000000000001</c:v>
                </c:pt>
                <c:pt idx="28">
                  <c:v>17</c:v>
                </c:pt>
                <c:pt idx="29">
                  <c:v>21</c:v>
                </c:pt>
                <c:pt idx="30">
                  <c:v>24</c:v>
                </c:pt>
                <c:pt idx="31">
                  <c:v>29.7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31.199999999999996</c:v>
                </c:pt>
                <c:pt idx="36">
                  <c:v>28</c:v>
                </c:pt>
                <c:pt idx="37">
                  <c:v>26</c:v>
                </c:pt>
                <c:pt idx="38">
                  <c:v>16.800000000000004</c:v>
                </c:pt>
                <c:pt idx="39">
                  <c:v>5.8000000000000043</c:v>
                </c:pt>
                <c:pt idx="40">
                  <c:v>3.9000000000000057</c:v>
                </c:pt>
                <c:pt idx="41">
                  <c:v>3.8999999999999986</c:v>
                </c:pt>
                <c:pt idx="42">
                  <c:v>3.5</c:v>
                </c:pt>
                <c:pt idx="43">
                  <c:v>3.4000000000000057</c:v>
                </c:pt>
                <c:pt idx="44">
                  <c:v>11</c:v>
                </c:pt>
                <c:pt idx="45">
                  <c:v>5</c:v>
                </c:pt>
                <c:pt idx="46">
                  <c:v>4.5</c:v>
                </c:pt>
                <c:pt idx="47">
                  <c:v>3.3999999999999986</c:v>
                </c:pt>
                <c:pt idx="48">
                  <c:v>2.5</c:v>
                </c:pt>
                <c:pt idx="49">
                  <c:v>10.999999999999993</c:v>
                </c:pt>
                <c:pt idx="50">
                  <c:v>11.999999999999993</c:v>
                </c:pt>
                <c:pt idx="51">
                  <c:v>16</c:v>
                </c:pt>
                <c:pt idx="52">
                  <c:v>11.899999999999999</c:v>
                </c:pt>
                <c:pt idx="53">
                  <c:v>8</c:v>
                </c:pt>
                <c:pt idx="54">
                  <c:v>5.6000000000000085</c:v>
                </c:pt>
                <c:pt idx="55">
                  <c:v>4.2000000000000028</c:v>
                </c:pt>
                <c:pt idx="56">
                  <c:v>6.2999999999999972</c:v>
                </c:pt>
                <c:pt idx="57">
                  <c:v>10</c:v>
                </c:pt>
                <c:pt idx="58">
                  <c:v>9.5999999999999943</c:v>
                </c:pt>
                <c:pt idx="59">
                  <c:v>8.2999999999999972</c:v>
                </c:pt>
                <c:pt idx="60">
                  <c:v>8</c:v>
                </c:pt>
                <c:pt idx="61">
                  <c:v>9</c:v>
                </c:pt>
                <c:pt idx="62">
                  <c:v>8.7999999999999972</c:v>
                </c:pt>
                <c:pt idx="63">
                  <c:v>8.5999999999999943</c:v>
                </c:pt>
                <c:pt idx="64">
                  <c:v>7.7000000000000028</c:v>
                </c:pt>
                <c:pt idx="65">
                  <c:v>7</c:v>
                </c:pt>
                <c:pt idx="66">
                  <c:v>10</c:v>
                </c:pt>
                <c:pt idx="67">
                  <c:v>12.200000000000003</c:v>
                </c:pt>
                <c:pt idx="68">
                  <c:v>17</c:v>
                </c:pt>
                <c:pt idx="69">
                  <c:v>19.700000000000003</c:v>
                </c:pt>
                <c:pt idx="70">
                  <c:v>20.5</c:v>
                </c:pt>
                <c:pt idx="71">
                  <c:v>21.299999999999997</c:v>
                </c:pt>
                <c:pt idx="72">
                  <c:v>22</c:v>
                </c:pt>
                <c:pt idx="73">
                  <c:v>28</c:v>
                </c:pt>
                <c:pt idx="74">
                  <c:v>27.5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27.200000000000003</c:v>
                </c:pt>
                <c:pt idx="82">
                  <c:v>28.399999999999991</c:v>
                </c:pt>
                <c:pt idx="83">
                  <c:v>28.999999999999993</c:v>
                </c:pt>
                <c:pt idx="84">
                  <c:v>28.100000000000009</c:v>
                </c:pt>
                <c:pt idx="85">
                  <c:v>27.299999999999997</c:v>
                </c:pt>
                <c:pt idx="86">
                  <c:v>27</c:v>
                </c:pt>
                <c:pt idx="87">
                  <c:v>27.800000000000011</c:v>
                </c:pt>
                <c:pt idx="88">
                  <c:v>29</c:v>
                </c:pt>
                <c:pt idx="89">
                  <c:v>30.100000000000009</c:v>
                </c:pt>
                <c:pt idx="90">
                  <c:v>31</c:v>
                </c:pt>
                <c:pt idx="91">
                  <c:v>30.9</c:v>
                </c:pt>
                <c:pt idx="92">
                  <c:v>30.5</c:v>
                </c:pt>
                <c:pt idx="93">
                  <c:v>29.999999999999993</c:v>
                </c:pt>
                <c:pt idx="94">
                  <c:v>29.599999999999994</c:v>
                </c:pt>
                <c:pt idx="95">
                  <c:v>29</c:v>
                </c:pt>
                <c:pt idx="96">
                  <c:v>28.299999999999997</c:v>
                </c:pt>
                <c:pt idx="97">
                  <c:v>28</c:v>
                </c:pt>
                <c:pt idx="98">
                  <c:v>30</c:v>
                </c:pt>
                <c:pt idx="99">
                  <c:v>31.700000000000003</c:v>
                </c:pt>
                <c:pt idx="100">
                  <c:v>34.699999999999996</c:v>
                </c:pt>
                <c:pt idx="101">
                  <c:v>36</c:v>
                </c:pt>
                <c:pt idx="102">
                  <c:v>35.199999999999996</c:v>
                </c:pt>
                <c:pt idx="103">
                  <c:v>33.9</c:v>
                </c:pt>
                <c:pt idx="104">
                  <c:v>33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Auswertung'!$BE$28:$BE$159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38336"/>
        <c:axId val="82640256"/>
      </c:scatterChart>
      <c:valAx>
        <c:axId val="8263833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de-DE" sz="1400" b="0"/>
                  <a:t>Spread (°C)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2640256"/>
        <c:crosses val="autoZero"/>
        <c:crossBetween val="midCat"/>
        <c:majorUnit val="5"/>
      </c:valAx>
      <c:valAx>
        <c:axId val="82640256"/>
        <c:scaling>
          <c:orientation val="minMax"/>
          <c:max val="1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de-DE" sz="1400" b="0" i="0" baseline="0">
                    <a:effectLst/>
                  </a:rPr>
                  <a:t>Höhe (m über NN)</a:t>
                </a:r>
                <a:endParaRPr lang="de-DE" sz="1400" b="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2638336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Mischungsverhältnis g Wasserdampf/kg Luft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130802375446926"/>
          <c:y val="6.9719541797126763E-2"/>
          <c:w val="0.83444873401174158"/>
          <c:h val="0.86253378070694453"/>
        </c:manualLayout>
      </c:layout>
      <c:scatterChart>
        <c:scatterStyle val="lineMarker"/>
        <c:varyColors val="0"/>
        <c:ser>
          <c:idx val="0"/>
          <c:order val="0"/>
          <c:tx>
            <c:v>MIXING_RATIO</c:v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'Daten Auswertung'!$BG$28:$BG$159</c:f>
              <c:numCache>
                <c:formatCode>0.00</c:formatCode>
                <c:ptCount val="132"/>
                <c:pt idx="0">
                  <c:v>20.23</c:v>
                </c:pt>
                <c:pt idx="1">
                  <c:v>20.18</c:v>
                </c:pt>
                <c:pt idx="2">
                  <c:v>19.690000000000001</c:v>
                </c:pt>
                <c:pt idx="3">
                  <c:v>19.12</c:v>
                </c:pt>
                <c:pt idx="4">
                  <c:v>18.850000000000001</c:v>
                </c:pt>
                <c:pt idx="5">
                  <c:v>17.38</c:v>
                </c:pt>
                <c:pt idx="6">
                  <c:v>16.61</c:v>
                </c:pt>
                <c:pt idx="7">
                  <c:v>16.23</c:v>
                </c:pt>
                <c:pt idx="8">
                  <c:v>15.82</c:v>
                </c:pt>
                <c:pt idx="9">
                  <c:v>14.78</c:v>
                </c:pt>
                <c:pt idx="10">
                  <c:v>12.86</c:v>
                </c:pt>
                <c:pt idx="11">
                  <c:v>12.97</c:v>
                </c:pt>
                <c:pt idx="12">
                  <c:v>11.57</c:v>
                </c:pt>
                <c:pt idx="13">
                  <c:v>7.62</c:v>
                </c:pt>
                <c:pt idx="14">
                  <c:v>7.55</c:v>
                </c:pt>
                <c:pt idx="15">
                  <c:v>5.64</c:v>
                </c:pt>
                <c:pt idx="16">
                  <c:v>5.5</c:v>
                </c:pt>
                <c:pt idx="17">
                  <c:v>2.87</c:v>
                </c:pt>
                <c:pt idx="18">
                  <c:v>2.96</c:v>
                </c:pt>
                <c:pt idx="19">
                  <c:v>1.22</c:v>
                </c:pt>
                <c:pt idx="20">
                  <c:v>0.78</c:v>
                </c:pt>
                <c:pt idx="21">
                  <c:v>1.07</c:v>
                </c:pt>
                <c:pt idx="22">
                  <c:v>1.29</c:v>
                </c:pt>
                <c:pt idx="23">
                  <c:v>1.35</c:v>
                </c:pt>
                <c:pt idx="24">
                  <c:v>2.36</c:v>
                </c:pt>
                <c:pt idx="25">
                  <c:v>2.69</c:v>
                </c:pt>
                <c:pt idx="26">
                  <c:v>1.81</c:v>
                </c:pt>
                <c:pt idx="27">
                  <c:v>1.19</c:v>
                </c:pt>
                <c:pt idx="28">
                  <c:v>1.1399999999999999</c:v>
                </c:pt>
                <c:pt idx="29">
                  <c:v>0.77</c:v>
                </c:pt>
                <c:pt idx="30">
                  <c:v>0.41</c:v>
                </c:pt>
                <c:pt idx="31">
                  <c:v>0.2</c:v>
                </c:pt>
                <c:pt idx="32">
                  <c:v>0.15</c:v>
                </c:pt>
                <c:pt idx="33">
                  <c:v>0.1</c:v>
                </c:pt>
                <c:pt idx="34">
                  <c:v>7.0000000000000007E-2</c:v>
                </c:pt>
                <c:pt idx="35">
                  <c:v>0.06</c:v>
                </c:pt>
                <c:pt idx="36">
                  <c:v>0.06</c:v>
                </c:pt>
                <c:pt idx="37">
                  <c:v>7.0000000000000007E-2</c:v>
                </c:pt>
                <c:pt idx="38">
                  <c:v>0.12</c:v>
                </c:pt>
                <c:pt idx="39">
                  <c:v>0.24</c:v>
                </c:pt>
                <c:pt idx="40">
                  <c:v>0.27</c:v>
                </c:pt>
                <c:pt idx="41">
                  <c:v>0.27</c:v>
                </c:pt>
                <c:pt idx="42">
                  <c:v>0.24</c:v>
                </c:pt>
                <c:pt idx="43">
                  <c:v>0.24</c:v>
                </c:pt>
                <c:pt idx="44">
                  <c:v>0.06</c:v>
                </c:pt>
                <c:pt idx="45">
                  <c:v>0.11</c:v>
                </c:pt>
                <c:pt idx="46">
                  <c:v>0.1</c:v>
                </c:pt>
                <c:pt idx="47">
                  <c:v>0.09</c:v>
                </c:pt>
                <c:pt idx="48">
                  <c:v>0.09</c:v>
                </c:pt>
                <c:pt idx="49">
                  <c:v>0.02</c:v>
                </c:pt>
                <c:pt idx="50">
                  <c:v>0.02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Auswertung'!$BH$28:$BH$159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07968"/>
        <c:axId val="86309888"/>
      </c:scatterChart>
      <c:valAx>
        <c:axId val="86307968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de-DE" sz="1400" b="0"/>
                  <a:t>g Wasserdampf / kg Luft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6309888"/>
        <c:crosses val="autoZero"/>
        <c:crossBetween val="midCat"/>
        <c:majorUnit val="1"/>
      </c:valAx>
      <c:valAx>
        <c:axId val="86309888"/>
        <c:scaling>
          <c:orientation val="minMax"/>
          <c:max val="1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de-DE" sz="1400" b="0" i="0" baseline="0">
                    <a:effectLst/>
                  </a:rPr>
                  <a:t>Höhe (m über NN)</a:t>
                </a:r>
                <a:endParaRPr lang="de-DE" sz="1400" b="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6307968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Windgeschwindigkeit (km/h)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0472545513484132E-2"/>
          <c:y val="9.1668992337227959E-2"/>
          <c:w val="0.88481967144545182"/>
          <c:h val="0.83839683442683111"/>
        </c:manualLayout>
      </c:layout>
      <c:scatterChart>
        <c:scatterStyle val="lineMarker"/>
        <c:varyColors val="0"/>
        <c:ser>
          <c:idx val="0"/>
          <c:order val="0"/>
          <c:tx>
            <c:v>WINDGESCHWINDIGKEIT</c:v>
          </c:tx>
          <c:spPr>
            <a:ln w="28575">
              <a:noFill/>
            </a:ln>
          </c:spPr>
          <c:marker>
            <c:symbol val="circle"/>
            <c:size val="6"/>
          </c:marker>
          <c:xVal>
            <c:numRef>
              <c:f>'Daten Auswertung'!$BM$28:$BM$159</c:f>
              <c:numCache>
                <c:formatCode>0</c:formatCode>
                <c:ptCount val="132"/>
                <c:pt idx="0">
                  <c:v>7.4080000000000004</c:v>
                </c:pt>
                <c:pt idx="1">
                  <c:v>3.7040000000000002</c:v>
                </c:pt>
                <c:pt idx="2">
                  <c:v>5.556</c:v>
                </c:pt>
                <c:pt idx="3">
                  <c:v>18.52</c:v>
                </c:pt>
                <c:pt idx="4">
                  <c:v>18.52</c:v>
                </c:pt>
                <c:pt idx="5">
                  <c:v>20.372</c:v>
                </c:pt>
                <c:pt idx="6">
                  <c:v>14.816000000000001</c:v>
                </c:pt>
                <c:pt idx="7">
                  <c:v>18.52</c:v>
                </c:pt>
                <c:pt idx="8">
                  <c:v>18.52</c:v>
                </c:pt>
                <c:pt idx="9">
                  <c:v>20.372</c:v>
                </c:pt>
                <c:pt idx="10">
                  <c:v>22.224</c:v>
                </c:pt>
                <c:pt idx="11">
                  <c:v>22.224</c:v>
                </c:pt>
                <c:pt idx="12">
                  <c:v>24.076000000000001</c:v>
                </c:pt>
                <c:pt idx="13">
                  <c:v>25.928000000000001</c:v>
                </c:pt>
                <c:pt idx="14">
                  <c:v>25.928000000000001</c:v>
                </c:pt>
                <c:pt idx="15">
                  <c:v>20.372</c:v>
                </c:pt>
                <c:pt idx="16">
                  <c:v>18.52</c:v>
                </c:pt>
                <c:pt idx="17">
                  <c:v>25.928000000000001</c:v>
                </c:pt>
                <c:pt idx="18">
                  <c:v>18.52</c:v>
                </c:pt>
                <c:pt idx="19">
                  <c:v>7.4080000000000004</c:v>
                </c:pt>
                <c:pt idx="20">
                  <c:v>14.816000000000001</c:v>
                </c:pt>
                <c:pt idx="21">
                  <c:v>18.52</c:v>
                </c:pt>
                <c:pt idx="22">
                  <c:v>24.076000000000001</c:v>
                </c:pt>
                <c:pt idx="23">
                  <c:v>24.076000000000001</c:v>
                </c:pt>
                <c:pt idx="24">
                  <c:v>18.52</c:v>
                </c:pt>
                <c:pt idx="25">
                  <c:v>20.372</c:v>
                </c:pt>
                <c:pt idx="26">
                  <c:v>24.076000000000001</c:v>
                </c:pt>
                <c:pt idx="27">
                  <c:v>35.188000000000002</c:v>
                </c:pt>
                <c:pt idx="28">
                  <c:v>35.188000000000002</c:v>
                </c:pt>
                <c:pt idx="29">
                  <c:v>35.188000000000002</c:v>
                </c:pt>
                <c:pt idx="30">
                  <c:v>38.892000000000003</c:v>
                </c:pt>
                <c:pt idx="31">
                  <c:v>40.744</c:v>
                </c:pt>
                <c:pt idx="32">
                  <c:v>42.596000000000004</c:v>
                </c:pt>
                <c:pt idx="33">
                  <c:v>42.596000000000004</c:v>
                </c:pt>
                <c:pt idx="34">
                  <c:v>51.856000000000002</c:v>
                </c:pt>
                <c:pt idx="35">
                  <c:v>64.820000000000007</c:v>
                </c:pt>
                <c:pt idx="36">
                  <c:v>70.376000000000005</c:v>
                </c:pt>
                <c:pt idx="37">
                  <c:v>70.376000000000005</c:v>
                </c:pt>
                <c:pt idx="38">
                  <c:v>77.784000000000006</c:v>
                </c:pt>
                <c:pt idx="39">
                  <c:v>64.820000000000007</c:v>
                </c:pt>
                <c:pt idx="40">
                  <c:v>53.708000000000006</c:v>
                </c:pt>
                <c:pt idx="41">
                  <c:v>53.708000000000006</c:v>
                </c:pt>
                <c:pt idx="42">
                  <c:v>59.264000000000003</c:v>
                </c:pt>
                <c:pt idx="43">
                  <c:v>59.264000000000003</c:v>
                </c:pt>
                <c:pt idx="44">
                  <c:v>70.376000000000005</c:v>
                </c:pt>
                <c:pt idx="45">
                  <c:v>70.376000000000005</c:v>
                </c:pt>
                <c:pt idx="46">
                  <c:v>74.08</c:v>
                </c:pt>
                <c:pt idx="47">
                  <c:v>77.784000000000006</c:v>
                </c:pt>
                <c:pt idx="48">
                  <c:v>81.488</c:v>
                </c:pt>
                <c:pt idx="49">
                  <c:v>94.451999999999998</c:v>
                </c:pt>
                <c:pt idx="50">
                  <c:v>96.304000000000002</c:v>
                </c:pt>
                <c:pt idx="51">
                  <c:v>94.451999999999998</c:v>
                </c:pt>
                <c:pt idx="52">
                  <c:v>85.192000000000007</c:v>
                </c:pt>
                <c:pt idx="53">
                  <c:v>79.63600000000001</c:v>
                </c:pt>
                <c:pt idx="54">
                  <c:v>68.524000000000001</c:v>
                </c:pt>
                <c:pt idx="55">
                  <c:v>81.488</c:v>
                </c:pt>
                <c:pt idx="56">
                  <c:v>96.304000000000002</c:v>
                </c:pt>
                <c:pt idx="57">
                  <c:v>64.820000000000007</c:v>
                </c:pt>
                <c:pt idx="58">
                  <c:v>59.264000000000003</c:v>
                </c:pt>
                <c:pt idx="59">
                  <c:v>72.228000000000009</c:v>
                </c:pt>
                <c:pt idx="60">
                  <c:v>68.524000000000001</c:v>
                </c:pt>
                <c:pt idx="61">
                  <c:v>40.744</c:v>
                </c:pt>
                <c:pt idx="62">
                  <c:v>18.52</c:v>
                </c:pt>
                <c:pt idx="63">
                  <c:v>1.8520000000000001</c:v>
                </c:pt>
                <c:pt idx="64">
                  <c:v>18.52</c:v>
                </c:pt>
                <c:pt idx="65">
                  <c:v>18.52</c:v>
                </c:pt>
                <c:pt idx="66">
                  <c:v>18.52</c:v>
                </c:pt>
                <c:pt idx="67">
                  <c:v>25.928000000000001</c:v>
                </c:pt>
                <c:pt idx="68">
                  <c:v>27.78</c:v>
                </c:pt>
                <c:pt idx="69">
                  <c:v>33.335999999999999</c:v>
                </c:pt>
                <c:pt idx="70">
                  <c:v>38.892000000000003</c:v>
                </c:pt>
                <c:pt idx="71">
                  <c:v>37.04</c:v>
                </c:pt>
                <c:pt idx="72">
                  <c:v>31.484000000000002</c:v>
                </c:pt>
                <c:pt idx="73">
                  <c:v>22.224</c:v>
                </c:pt>
                <c:pt idx="74">
                  <c:v>18.52</c:v>
                </c:pt>
                <c:pt idx="75">
                  <c:v>7.4080000000000004</c:v>
                </c:pt>
                <c:pt idx="76">
                  <c:v>3.7040000000000002</c:v>
                </c:pt>
                <c:pt idx="77">
                  <c:v>18.52</c:v>
                </c:pt>
                <c:pt idx="78">
                  <c:v>31.484000000000002</c:v>
                </c:pt>
                <c:pt idx="79">
                  <c:v>48.152000000000001</c:v>
                </c:pt>
                <c:pt idx="80">
                  <c:v>46.300000000000004</c:v>
                </c:pt>
                <c:pt idx="81">
                  <c:v>44.448</c:v>
                </c:pt>
                <c:pt idx="82">
                  <c:v>61.116</c:v>
                </c:pt>
                <c:pt idx="83">
                  <c:v>62.968000000000004</c:v>
                </c:pt>
                <c:pt idx="84">
                  <c:v>74.08</c:v>
                </c:pt>
                <c:pt idx="85">
                  <c:v>51.856000000000002</c:v>
                </c:pt>
                <c:pt idx="86">
                  <c:v>51.856000000000002</c:v>
                </c:pt>
                <c:pt idx="87">
                  <c:v>51.856000000000002</c:v>
                </c:pt>
                <c:pt idx="88">
                  <c:v>20.372</c:v>
                </c:pt>
                <c:pt idx="89">
                  <c:v>24.076000000000001</c:v>
                </c:pt>
                <c:pt idx="90">
                  <c:v>44.448</c:v>
                </c:pt>
                <c:pt idx="91">
                  <c:v>51.856000000000002</c:v>
                </c:pt>
                <c:pt idx="92">
                  <c:v>57.412000000000006</c:v>
                </c:pt>
                <c:pt idx="93">
                  <c:v>35.188000000000002</c:v>
                </c:pt>
                <c:pt idx="94">
                  <c:v>29.632000000000001</c:v>
                </c:pt>
                <c:pt idx="95">
                  <c:v>14.816000000000001</c:v>
                </c:pt>
                <c:pt idx="96">
                  <c:v>27.78</c:v>
                </c:pt>
                <c:pt idx="97">
                  <c:v>35.188000000000002</c:v>
                </c:pt>
                <c:pt idx="98">
                  <c:v>55.56</c:v>
                </c:pt>
                <c:pt idx="99">
                  <c:v>68.524000000000001</c:v>
                </c:pt>
                <c:pt idx="100">
                  <c:v>75.932000000000002</c:v>
                </c:pt>
                <c:pt idx="101">
                  <c:v>68.524000000000001</c:v>
                </c:pt>
                <c:pt idx="102">
                  <c:v>59.264000000000003</c:v>
                </c:pt>
                <c:pt idx="103">
                  <c:v>46.300000000000004</c:v>
                </c:pt>
                <c:pt idx="104">
                  <c:v>55.56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Auswertung'!$BN$28:$BN$159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26656"/>
        <c:axId val="86337024"/>
      </c:scatterChart>
      <c:valAx>
        <c:axId val="86326656"/>
        <c:scaling>
          <c:orientation val="minMax"/>
          <c:max val="2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de-DE" sz="1400" b="0"/>
                  <a:t>km/h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6337024"/>
        <c:crosses val="autoZero"/>
        <c:crossBetween val="midCat"/>
        <c:majorUnit val="5"/>
      </c:valAx>
      <c:valAx>
        <c:axId val="86337024"/>
        <c:scaling>
          <c:orientation val="minMax"/>
          <c:max val="1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sz="1400" b="0"/>
                  <a:t>Höhe über NN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6326656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Windrichtung (Azimut °)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351643295584073E-2"/>
          <c:y val="8.5992028823891814E-2"/>
          <c:w val="0.89180820026978702"/>
          <c:h val="0.84841667217750849"/>
        </c:manualLayout>
      </c:layout>
      <c:scatterChart>
        <c:scatterStyle val="lineMarker"/>
        <c:varyColors val="0"/>
        <c:ser>
          <c:idx val="0"/>
          <c:order val="0"/>
          <c:tx>
            <c:v>WINDRICHTUNG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xVal>
            <c:numRef>
              <c:f>'Daten Auswertung'!$BJ$28:$BJ$159</c:f>
              <c:numCache>
                <c:formatCode>0</c:formatCode>
                <c:ptCount val="132"/>
                <c:pt idx="0">
                  <c:v>305</c:v>
                </c:pt>
                <c:pt idx="1">
                  <c:v>105</c:v>
                </c:pt>
                <c:pt idx="2">
                  <c:v>105</c:v>
                </c:pt>
                <c:pt idx="3">
                  <c:v>125</c:v>
                </c:pt>
                <c:pt idx="4">
                  <c:v>132</c:v>
                </c:pt>
                <c:pt idx="5">
                  <c:v>145</c:v>
                </c:pt>
                <c:pt idx="6">
                  <c:v>170</c:v>
                </c:pt>
                <c:pt idx="7">
                  <c:v>180</c:v>
                </c:pt>
                <c:pt idx="8">
                  <c:v>184</c:v>
                </c:pt>
                <c:pt idx="9">
                  <c:v>190</c:v>
                </c:pt>
                <c:pt idx="10">
                  <c:v>155</c:v>
                </c:pt>
                <c:pt idx="11">
                  <c:v>150</c:v>
                </c:pt>
                <c:pt idx="12">
                  <c:v>155</c:v>
                </c:pt>
                <c:pt idx="13">
                  <c:v>159</c:v>
                </c:pt>
                <c:pt idx="14">
                  <c:v>160</c:v>
                </c:pt>
                <c:pt idx="15">
                  <c:v>173</c:v>
                </c:pt>
                <c:pt idx="16">
                  <c:v>175</c:v>
                </c:pt>
                <c:pt idx="17">
                  <c:v>155</c:v>
                </c:pt>
                <c:pt idx="18">
                  <c:v>153</c:v>
                </c:pt>
                <c:pt idx="19">
                  <c:v>150</c:v>
                </c:pt>
                <c:pt idx="20">
                  <c:v>138</c:v>
                </c:pt>
                <c:pt idx="21">
                  <c:v>130</c:v>
                </c:pt>
                <c:pt idx="22">
                  <c:v>100</c:v>
                </c:pt>
                <c:pt idx="23">
                  <c:v>98</c:v>
                </c:pt>
                <c:pt idx="24">
                  <c:v>65</c:v>
                </c:pt>
                <c:pt idx="25">
                  <c:v>80</c:v>
                </c:pt>
                <c:pt idx="26">
                  <c:v>65</c:v>
                </c:pt>
                <c:pt idx="27">
                  <c:v>85</c:v>
                </c:pt>
                <c:pt idx="28">
                  <c:v>85</c:v>
                </c:pt>
                <c:pt idx="29">
                  <c:v>82</c:v>
                </c:pt>
                <c:pt idx="30">
                  <c:v>71</c:v>
                </c:pt>
                <c:pt idx="31">
                  <c:v>65</c:v>
                </c:pt>
                <c:pt idx="32">
                  <c:v>65</c:v>
                </c:pt>
                <c:pt idx="33">
                  <c:v>70</c:v>
                </c:pt>
                <c:pt idx="34">
                  <c:v>85</c:v>
                </c:pt>
                <c:pt idx="35">
                  <c:v>105</c:v>
                </c:pt>
                <c:pt idx="36">
                  <c:v>100</c:v>
                </c:pt>
                <c:pt idx="37">
                  <c:v>100</c:v>
                </c:pt>
                <c:pt idx="38">
                  <c:v>90</c:v>
                </c:pt>
                <c:pt idx="39">
                  <c:v>75</c:v>
                </c:pt>
                <c:pt idx="40">
                  <c:v>65</c:v>
                </c:pt>
                <c:pt idx="41">
                  <c:v>65</c:v>
                </c:pt>
                <c:pt idx="42">
                  <c:v>50</c:v>
                </c:pt>
                <c:pt idx="43">
                  <c:v>50</c:v>
                </c:pt>
                <c:pt idx="44">
                  <c:v>62</c:v>
                </c:pt>
                <c:pt idx="45">
                  <c:v>63</c:v>
                </c:pt>
                <c:pt idx="46">
                  <c:v>65</c:v>
                </c:pt>
                <c:pt idx="47">
                  <c:v>70</c:v>
                </c:pt>
                <c:pt idx="48">
                  <c:v>74</c:v>
                </c:pt>
                <c:pt idx="49">
                  <c:v>84</c:v>
                </c:pt>
                <c:pt idx="50">
                  <c:v>85</c:v>
                </c:pt>
                <c:pt idx="51">
                  <c:v>89</c:v>
                </c:pt>
                <c:pt idx="52">
                  <c:v>105</c:v>
                </c:pt>
                <c:pt idx="53">
                  <c:v>105</c:v>
                </c:pt>
                <c:pt idx="54">
                  <c:v>115</c:v>
                </c:pt>
                <c:pt idx="55">
                  <c:v>117</c:v>
                </c:pt>
                <c:pt idx="56">
                  <c:v>120</c:v>
                </c:pt>
                <c:pt idx="57">
                  <c:v>103</c:v>
                </c:pt>
                <c:pt idx="58">
                  <c:v>100</c:v>
                </c:pt>
                <c:pt idx="59">
                  <c:v>80</c:v>
                </c:pt>
                <c:pt idx="60">
                  <c:v>85</c:v>
                </c:pt>
                <c:pt idx="61">
                  <c:v>100</c:v>
                </c:pt>
                <c:pt idx="62">
                  <c:v>105</c:v>
                </c:pt>
                <c:pt idx="63">
                  <c:v>205</c:v>
                </c:pt>
                <c:pt idx="64">
                  <c:v>35</c:v>
                </c:pt>
                <c:pt idx="65">
                  <c:v>78</c:v>
                </c:pt>
                <c:pt idx="66">
                  <c:v>95</c:v>
                </c:pt>
                <c:pt idx="67">
                  <c:v>100</c:v>
                </c:pt>
                <c:pt idx="68">
                  <c:v>102</c:v>
                </c:pt>
                <c:pt idx="69">
                  <c:v>105</c:v>
                </c:pt>
                <c:pt idx="70">
                  <c:v>100</c:v>
                </c:pt>
                <c:pt idx="71">
                  <c:v>90</c:v>
                </c:pt>
                <c:pt idx="72">
                  <c:v>100</c:v>
                </c:pt>
                <c:pt idx="73">
                  <c:v>118</c:v>
                </c:pt>
                <c:pt idx="74">
                  <c:v>125</c:v>
                </c:pt>
                <c:pt idx="75">
                  <c:v>185</c:v>
                </c:pt>
                <c:pt idx="76">
                  <c:v>200</c:v>
                </c:pt>
                <c:pt idx="77">
                  <c:v>245</c:v>
                </c:pt>
                <c:pt idx="78">
                  <c:v>290</c:v>
                </c:pt>
                <c:pt idx="79">
                  <c:v>300</c:v>
                </c:pt>
                <c:pt idx="80">
                  <c:v>300</c:v>
                </c:pt>
                <c:pt idx="81">
                  <c:v>295</c:v>
                </c:pt>
                <c:pt idx="82">
                  <c:v>265</c:v>
                </c:pt>
                <c:pt idx="83">
                  <c:v>270</c:v>
                </c:pt>
                <c:pt idx="84">
                  <c:v>290</c:v>
                </c:pt>
                <c:pt idx="85">
                  <c:v>315</c:v>
                </c:pt>
                <c:pt idx="86">
                  <c:v>298</c:v>
                </c:pt>
                <c:pt idx="87">
                  <c:v>290</c:v>
                </c:pt>
                <c:pt idx="88">
                  <c:v>295</c:v>
                </c:pt>
                <c:pt idx="89">
                  <c:v>225</c:v>
                </c:pt>
                <c:pt idx="90">
                  <c:v>244</c:v>
                </c:pt>
                <c:pt idx="91">
                  <c:v>250</c:v>
                </c:pt>
                <c:pt idx="92">
                  <c:v>240</c:v>
                </c:pt>
                <c:pt idx="93">
                  <c:v>265</c:v>
                </c:pt>
                <c:pt idx="94">
                  <c:v>300</c:v>
                </c:pt>
                <c:pt idx="95">
                  <c:v>290</c:v>
                </c:pt>
                <c:pt idx="96">
                  <c:v>355</c:v>
                </c:pt>
                <c:pt idx="97">
                  <c:v>7</c:v>
                </c:pt>
                <c:pt idx="98">
                  <c:v>40</c:v>
                </c:pt>
                <c:pt idx="99">
                  <c:v>60</c:v>
                </c:pt>
                <c:pt idx="100">
                  <c:v>115</c:v>
                </c:pt>
                <c:pt idx="101">
                  <c:v>119</c:v>
                </c:pt>
                <c:pt idx="102">
                  <c:v>125</c:v>
                </c:pt>
                <c:pt idx="103">
                  <c:v>95</c:v>
                </c:pt>
                <c:pt idx="104">
                  <c:v>83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Auswertung'!$BK$28:$BK$159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61216"/>
        <c:axId val="86363520"/>
      </c:scatterChart>
      <c:valAx>
        <c:axId val="86361216"/>
        <c:scaling>
          <c:orientation val="minMax"/>
          <c:max val="3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de-DE" sz="1400" b="0"/>
                  <a:t>Azimut</a:t>
                </a:r>
                <a:r>
                  <a:rPr lang="de-DE" sz="1400" b="0" baseline="0"/>
                  <a:t> (°)</a:t>
                </a:r>
                <a:endParaRPr lang="de-DE" sz="1400" b="0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6363520"/>
        <c:crosses val="autoZero"/>
        <c:crossBetween val="midCat"/>
        <c:majorUnit val="10"/>
      </c:valAx>
      <c:valAx>
        <c:axId val="86363520"/>
        <c:scaling>
          <c:orientation val="minMax"/>
          <c:max val="1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sz="1400" b="0"/>
                  <a:t>Höhe über NN (m)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6361216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Vertikalprofil: Stabilität bzw. Labilität</a:t>
            </a:r>
          </a:p>
          <a:p>
            <a:pPr>
              <a:defRPr/>
            </a:pPr>
            <a:r>
              <a:rPr lang="de-DE"/>
              <a:t>Trocken-/Feuchtadiabate</a:t>
            </a:r>
            <a:r>
              <a:rPr lang="de-DE" baseline="0"/>
              <a:t> und Sättigungskurve</a:t>
            </a:r>
            <a:endParaRPr lang="de-DE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2729157017137562E-2"/>
          <c:y val="0.11386902328303457"/>
          <c:w val="0.88983780767561538"/>
          <c:h val="0.77360491322433012"/>
        </c:manualLayout>
      </c:layout>
      <c:scatterChart>
        <c:scatterStyle val="lineMarker"/>
        <c:varyColors val="0"/>
        <c:ser>
          <c:idx val="0"/>
          <c:order val="0"/>
          <c:tx>
            <c:v>TAUPUNKT</c:v>
          </c:tx>
          <c:spPr>
            <a:ln w="34925"/>
          </c:spPr>
          <c:marker>
            <c:symbol val="none"/>
          </c:marker>
          <c:xVal>
            <c:numRef>
              <c:f>'Daten Auswertung'!$CB$28:$CB$159</c:f>
              <c:numCache>
                <c:formatCode>0.00</c:formatCode>
                <c:ptCount val="132"/>
                <c:pt idx="0">
                  <c:v>25</c:v>
                </c:pt>
                <c:pt idx="1">
                  <c:v>24.9</c:v>
                </c:pt>
                <c:pt idx="2">
                  <c:v>24.4</c:v>
                </c:pt>
                <c:pt idx="3">
                  <c:v>23.4</c:v>
                </c:pt>
                <c:pt idx="4">
                  <c:v>23</c:v>
                </c:pt>
                <c:pt idx="5">
                  <c:v>21.3</c:v>
                </c:pt>
                <c:pt idx="6">
                  <c:v>20.399999999999999</c:v>
                </c:pt>
                <c:pt idx="7">
                  <c:v>19.8</c:v>
                </c:pt>
                <c:pt idx="8">
                  <c:v>19.2</c:v>
                </c:pt>
                <c:pt idx="9">
                  <c:v>17.8</c:v>
                </c:pt>
                <c:pt idx="10">
                  <c:v>15.1</c:v>
                </c:pt>
                <c:pt idx="11">
                  <c:v>15.2</c:v>
                </c:pt>
                <c:pt idx="12">
                  <c:v>13.3</c:v>
                </c:pt>
                <c:pt idx="13">
                  <c:v>7</c:v>
                </c:pt>
                <c:pt idx="14">
                  <c:v>6.8</c:v>
                </c:pt>
                <c:pt idx="15">
                  <c:v>2.2000000000000002</c:v>
                </c:pt>
                <c:pt idx="16">
                  <c:v>1.8</c:v>
                </c:pt>
                <c:pt idx="17">
                  <c:v>-8.6</c:v>
                </c:pt>
                <c:pt idx="18">
                  <c:v>-9</c:v>
                </c:pt>
                <c:pt idx="19">
                  <c:v>-20.7</c:v>
                </c:pt>
                <c:pt idx="20">
                  <c:v>-26.2</c:v>
                </c:pt>
                <c:pt idx="21">
                  <c:v>-22.9</c:v>
                </c:pt>
                <c:pt idx="22">
                  <c:v>-21</c:v>
                </c:pt>
                <c:pt idx="23">
                  <c:v>-20.5</c:v>
                </c:pt>
                <c:pt idx="24">
                  <c:v>-14.5</c:v>
                </c:pt>
                <c:pt idx="25">
                  <c:v>-13.1</c:v>
                </c:pt>
                <c:pt idx="26">
                  <c:v>-18.100000000000001</c:v>
                </c:pt>
                <c:pt idx="27">
                  <c:v>-23.2</c:v>
                </c:pt>
                <c:pt idx="28">
                  <c:v>-23.7</c:v>
                </c:pt>
                <c:pt idx="29">
                  <c:v>-28.3</c:v>
                </c:pt>
                <c:pt idx="30">
                  <c:v>-35.9</c:v>
                </c:pt>
                <c:pt idx="31">
                  <c:v>-43.5</c:v>
                </c:pt>
                <c:pt idx="32">
                  <c:v>-46.5</c:v>
                </c:pt>
                <c:pt idx="33">
                  <c:v>-50.1</c:v>
                </c:pt>
                <c:pt idx="34">
                  <c:v>-53.7</c:v>
                </c:pt>
                <c:pt idx="35">
                  <c:v>-55.3</c:v>
                </c:pt>
                <c:pt idx="36">
                  <c:v>-57.1</c:v>
                </c:pt>
                <c:pt idx="37">
                  <c:v>-55.5</c:v>
                </c:pt>
                <c:pt idx="38">
                  <c:v>-51.2</c:v>
                </c:pt>
                <c:pt idx="39">
                  <c:v>-46.1</c:v>
                </c:pt>
                <c:pt idx="40">
                  <c:v>-45.2</c:v>
                </c:pt>
                <c:pt idx="41">
                  <c:v>-45.4</c:v>
                </c:pt>
                <c:pt idx="42">
                  <c:v>-46.5</c:v>
                </c:pt>
                <c:pt idx="43">
                  <c:v>-46.7</c:v>
                </c:pt>
                <c:pt idx="44">
                  <c:v>-59.5</c:v>
                </c:pt>
                <c:pt idx="45">
                  <c:v>-54.3</c:v>
                </c:pt>
                <c:pt idx="46">
                  <c:v>-55.6</c:v>
                </c:pt>
                <c:pt idx="47">
                  <c:v>-56.9</c:v>
                </c:pt>
                <c:pt idx="48">
                  <c:v>-57.2</c:v>
                </c:pt>
                <c:pt idx="49">
                  <c:v>-68.099999999999994</c:v>
                </c:pt>
                <c:pt idx="50">
                  <c:v>-69.099999999999994</c:v>
                </c:pt>
                <c:pt idx="51">
                  <c:v>-73.3</c:v>
                </c:pt>
                <c:pt idx="52">
                  <c:v>-74</c:v>
                </c:pt>
                <c:pt idx="53">
                  <c:v>-74.7</c:v>
                </c:pt>
                <c:pt idx="54">
                  <c:v>-77.2</c:v>
                </c:pt>
                <c:pt idx="55">
                  <c:v>-78.7</c:v>
                </c:pt>
                <c:pt idx="56">
                  <c:v>-81.8</c:v>
                </c:pt>
                <c:pt idx="57">
                  <c:v>-87.1</c:v>
                </c:pt>
                <c:pt idx="58">
                  <c:v>-87</c:v>
                </c:pt>
                <c:pt idx="59">
                  <c:v>-86.6</c:v>
                </c:pt>
                <c:pt idx="60">
                  <c:v>-86.5</c:v>
                </c:pt>
                <c:pt idx="61">
                  <c:v>-86.9</c:v>
                </c:pt>
                <c:pt idx="62">
                  <c:v>-87.1</c:v>
                </c:pt>
                <c:pt idx="63">
                  <c:v>-87.3</c:v>
                </c:pt>
                <c:pt idx="64">
                  <c:v>-88</c:v>
                </c:pt>
                <c:pt idx="65">
                  <c:v>-88.7</c:v>
                </c:pt>
                <c:pt idx="66">
                  <c:v>-88.9</c:v>
                </c:pt>
                <c:pt idx="67">
                  <c:v>-89.4</c:v>
                </c:pt>
                <c:pt idx="68">
                  <c:v>-90.5</c:v>
                </c:pt>
                <c:pt idx="69">
                  <c:v>-91.8</c:v>
                </c:pt>
                <c:pt idx="70">
                  <c:v>-92.2</c:v>
                </c:pt>
                <c:pt idx="71">
                  <c:v>-92.6</c:v>
                </c:pt>
                <c:pt idx="72">
                  <c:v>-92.9</c:v>
                </c:pt>
                <c:pt idx="73">
                  <c:v>-93.9</c:v>
                </c:pt>
                <c:pt idx="74">
                  <c:v>-93.7</c:v>
                </c:pt>
                <c:pt idx="75">
                  <c:v>-93.1</c:v>
                </c:pt>
                <c:pt idx="76">
                  <c:v>-93</c:v>
                </c:pt>
                <c:pt idx="77">
                  <c:v>-92.8</c:v>
                </c:pt>
                <c:pt idx="78">
                  <c:v>-92.5</c:v>
                </c:pt>
                <c:pt idx="79">
                  <c:v>-92.1</c:v>
                </c:pt>
                <c:pt idx="80">
                  <c:v>-91.9</c:v>
                </c:pt>
                <c:pt idx="81">
                  <c:v>-92</c:v>
                </c:pt>
                <c:pt idx="82">
                  <c:v>-92.1</c:v>
                </c:pt>
                <c:pt idx="83">
                  <c:v>-92.1</c:v>
                </c:pt>
                <c:pt idx="84">
                  <c:v>-92.7</c:v>
                </c:pt>
                <c:pt idx="85">
                  <c:v>-93.1</c:v>
                </c:pt>
                <c:pt idx="86">
                  <c:v>-93.3</c:v>
                </c:pt>
                <c:pt idx="87">
                  <c:v>-93.4</c:v>
                </c:pt>
                <c:pt idx="88">
                  <c:v>-93.5</c:v>
                </c:pt>
                <c:pt idx="89">
                  <c:v>-92.9</c:v>
                </c:pt>
                <c:pt idx="90">
                  <c:v>-92.5</c:v>
                </c:pt>
                <c:pt idx="91">
                  <c:v>-92.5</c:v>
                </c:pt>
                <c:pt idx="92">
                  <c:v>-92.5</c:v>
                </c:pt>
                <c:pt idx="93">
                  <c:v>-92.6</c:v>
                </c:pt>
                <c:pt idx="94">
                  <c:v>-92.6</c:v>
                </c:pt>
                <c:pt idx="95">
                  <c:v>-92.7</c:v>
                </c:pt>
                <c:pt idx="96">
                  <c:v>-93.3</c:v>
                </c:pt>
                <c:pt idx="97">
                  <c:v>-93.5</c:v>
                </c:pt>
                <c:pt idx="98">
                  <c:v>-94.1</c:v>
                </c:pt>
                <c:pt idx="99">
                  <c:v>-93</c:v>
                </c:pt>
                <c:pt idx="100">
                  <c:v>-91.1</c:v>
                </c:pt>
                <c:pt idx="101">
                  <c:v>-90.3</c:v>
                </c:pt>
                <c:pt idx="102">
                  <c:v>-90.3</c:v>
                </c:pt>
                <c:pt idx="103">
                  <c:v>-90.3</c:v>
                </c:pt>
                <c:pt idx="104">
                  <c:v>-90.3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Auswertung'!$CC$28:$CC$159</c:f>
              <c:numCache>
                <c:formatCode>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TEMPERATUR_DRUCK</c:v>
          </c:tx>
          <c:spPr>
            <a:ln w="34925"/>
          </c:spPr>
          <c:marker>
            <c:symbol val="none"/>
          </c:marker>
          <c:xVal>
            <c:numRef>
              <c:f>'Daten Auswertung'!$BZ$28:$BZ$159</c:f>
              <c:numCache>
                <c:formatCode>0.0</c:formatCode>
                <c:ptCount val="132"/>
                <c:pt idx="0">
                  <c:v>28.2</c:v>
                </c:pt>
                <c:pt idx="1">
                  <c:v>28.1</c:v>
                </c:pt>
                <c:pt idx="2">
                  <c:v>27.2</c:v>
                </c:pt>
                <c:pt idx="3">
                  <c:v>24.5</c:v>
                </c:pt>
                <c:pt idx="4">
                  <c:v>23.2</c:v>
                </c:pt>
                <c:pt idx="5">
                  <c:v>21.9</c:v>
                </c:pt>
                <c:pt idx="6">
                  <c:v>21.2</c:v>
                </c:pt>
                <c:pt idx="7">
                  <c:v>20.399999999999999</c:v>
                </c:pt>
                <c:pt idx="8">
                  <c:v>19.600000000000001</c:v>
                </c:pt>
                <c:pt idx="9">
                  <c:v>18.899999999999999</c:v>
                </c:pt>
                <c:pt idx="10">
                  <c:v>17.399999999999999</c:v>
                </c:pt>
                <c:pt idx="11">
                  <c:v>17.399999999999999</c:v>
                </c:pt>
                <c:pt idx="12">
                  <c:v>17.2</c:v>
                </c:pt>
                <c:pt idx="13">
                  <c:v>18</c:v>
                </c:pt>
                <c:pt idx="14">
                  <c:v>17.899999999999999</c:v>
                </c:pt>
                <c:pt idx="15">
                  <c:v>16.2</c:v>
                </c:pt>
                <c:pt idx="16">
                  <c:v>15.9</c:v>
                </c:pt>
                <c:pt idx="17">
                  <c:v>9.4</c:v>
                </c:pt>
                <c:pt idx="18">
                  <c:v>6</c:v>
                </c:pt>
                <c:pt idx="19">
                  <c:v>2.5</c:v>
                </c:pt>
                <c:pt idx="20">
                  <c:v>0.8</c:v>
                </c:pt>
                <c:pt idx="21">
                  <c:v>0.1</c:v>
                </c:pt>
                <c:pt idx="22">
                  <c:v>-0.4</c:v>
                </c:pt>
                <c:pt idx="23">
                  <c:v>-0.5</c:v>
                </c:pt>
                <c:pt idx="24">
                  <c:v>-4.2</c:v>
                </c:pt>
                <c:pt idx="25">
                  <c:v>-5.0999999999999996</c:v>
                </c:pt>
                <c:pt idx="26">
                  <c:v>-5.8</c:v>
                </c:pt>
                <c:pt idx="27">
                  <c:v>-6.6</c:v>
                </c:pt>
                <c:pt idx="28">
                  <c:v>-6.7</c:v>
                </c:pt>
                <c:pt idx="29">
                  <c:v>-7.3</c:v>
                </c:pt>
                <c:pt idx="30">
                  <c:v>-11.9</c:v>
                </c:pt>
                <c:pt idx="31">
                  <c:v>-13.8</c:v>
                </c:pt>
                <c:pt idx="32">
                  <c:v>-14.5</c:v>
                </c:pt>
                <c:pt idx="33">
                  <c:v>-17.100000000000001</c:v>
                </c:pt>
                <c:pt idx="34">
                  <c:v>-19.7</c:v>
                </c:pt>
                <c:pt idx="35">
                  <c:v>-24.1</c:v>
                </c:pt>
                <c:pt idx="36">
                  <c:v>-29.1</c:v>
                </c:pt>
                <c:pt idx="37">
                  <c:v>-29.5</c:v>
                </c:pt>
                <c:pt idx="38">
                  <c:v>-34.4</c:v>
                </c:pt>
                <c:pt idx="39">
                  <c:v>-40.299999999999997</c:v>
                </c:pt>
                <c:pt idx="40">
                  <c:v>-41.3</c:v>
                </c:pt>
                <c:pt idx="41">
                  <c:v>-41.5</c:v>
                </c:pt>
                <c:pt idx="42">
                  <c:v>-43</c:v>
                </c:pt>
                <c:pt idx="43">
                  <c:v>-43.3</c:v>
                </c:pt>
                <c:pt idx="44">
                  <c:v>-48.5</c:v>
                </c:pt>
                <c:pt idx="45">
                  <c:v>-49.3</c:v>
                </c:pt>
                <c:pt idx="46">
                  <c:v>-51.1</c:v>
                </c:pt>
                <c:pt idx="47">
                  <c:v>-53.5</c:v>
                </c:pt>
                <c:pt idx="48">
                  <c:v>-54.7</c:v>
                </c:pt>
                <c:pt idx="49">
                  <c:v>-57.1</c:v>
                </c:pt>
                <c:pt idx="50">
                  <c:v>-57.1</c:v>
                </c:pt>
                <c:pt idx="51">
                  <c:v>-57.3</c:v>
                </c:pt>
                <c:pt idx="52">
                  <c:v>-62.1</c:v>
                </c:pt>
                <c:pt idx="53">
                  <c:v>-66.7</c:v>
                </c:pt>
                <c:pt idx="54">
                  <c:v>-71.599999999999994</c:v>
                </c:pt>
                <c:pt idx="55">
                  <c:v>-74.5</c:v>
                </c:pt>
                <c:pt idx="56">
                  <c:v>-75.5</c:v>
                </c:pt>
                <c:pt idx="57">
                  <c:v>-77.099999999999994</c:v>
                </c:pt>
                <c:pt idx="58">
                  <c:v>-77.400000000000006</c:v>
                </c:pt>
                <c:pt idx="59">
                  <c:v>-78.3</c:v>
                </c:pt>
                <c:pt idx="60">
                  <c:v>-78.5</c:v>
                </c:pt>
                <c:pt idx="61">
                  <c:v>-77.900000000000006</c:v>
                </c:pt>
                <c:pt idx="62">
                  <c:v>-78.3</c:v>
                </c:pt>
                <c:pt idx="63">
                  <c:v>-78.7</c:v>
                </c:pt>
                <c:pt idx="64">
                  <c:v>-80.3</c:v>
                </c:pt>
                <c:pt idx="65">
                  <c:v>-81.7</c:v>
                </c:pt>
                <c:pt idx="66">
                  <c:v>-78.900000000000006</c:v>
                </c:pt>
                <c:pt idx="67">
                  <c:v>-77.2</c:v>
                </c:pt>
                <c:pt idx="68">
                  <c:v>-73.5</c:v>
                </c:pt>
                <c:pt idx="69">
                  <c:v>-72.099999999999994</c:v>
                </c:pt>
                <c:pt idx="70">
                  <c:v>-71.7</c:v>
                </c:pt>
                <c:pt idx="71">
                  <c:v>-71.3</c:v>
                </c:pt>
                <c:pt idx="72">
                  <c:v>-70.900000000000006</c:v>
                </c:pt>
                <c:pt idx="73">
                  <c:v>-65.900000000000006</c:v>
                </c:pt>
                <c:pt idx="74">
                  <c:v>-66.2</c:v>
                </c:pt>
                <c:pt idx="75">
                  <c:v>-67.099999999999994</c:v>
                </c:pt>
                <c:pt idx="76">
                  <c:v>-67</c:v>
                </c:pt>
                <c:pt idx="77">
                  <c:v>-66.8</c:v>
                </c:pt>
                <c:pt idx="78">
                  <c:v>-66.5</c:v>
                </c:pt>
                <c:pt idx="79">
                  <c:v>-66.099999999999994</c:v>
                </c:pt>
                <c:pt idx="80">
                  <c:v>-65.900000000000006</c:v>
                </c:pt>
                <c:pt idx="81">
                  <c:v>-64.8</c:v>
                </c:pt>
                <c:pt idx="82">
                  <c:v>-63.7</c:v>
                </c:pt>
                <c:pt idx="83">
                  <c:v>-63.1</c:v>
                </c:pt>
                <c:pt idx="84">
                  <c:v>-64.599999999999994</c:v>
                </c:pt>
                <c:pt idx="85">
                  <c:v>-65.8</c:v>
                </c:pt>
                <c:pt idx="86">
                  <c:v>-66.3</c:v>
                </c:pt>
                <c:pt idx="87">
                  <c:v>-65.599999999999994</c:v>
                </c:pt>
                <c:pt idx="88">
                  <c:v>-64.5</c:v>
                </c:pt>
                <c:pt idx="89">
                  <c:v>-62.8</c:v>
                </c:pt>
                <c:pt idx="90">
                  <c:v>-61.5</c:v>
                </c:pt>
                <c:pt idx="91">
                  <c:v>-61.6</c:v>
                </c:pt>
                <c:pt idx="92">
                  <c:v>-62</c:v>
                </c:pt>
                <c:pt idx="93">
                  <c:v>-62.6</c:v>
                </c:pt>
                <c:pt idx="94">
                  <c:v>-63</c:v>
                </c:pt>
                <c:pt idx="95">
                  <c:v>-63.7</c:v>
                </c:pt>
                <c:pt idx="96">
                  <c:v>-65</c:v>
                </c:pt>
                <c:pt idx="97">
                  <c:v>-65.5</c:v>
                </c:pt>
                <c:pt idx="98">
                  <c:v>-64.099999999999994</c:v>
                </c:pt>
                <c:pt idx="99">
                  <c:v>-61.3</c:v>
                </c:pt>
                <c:pt idx="100">
                  <c:v>-56.4</c:v>
                </c:pt>
                <c:pt idx="101">
                  <c:v>-54.3</c:v>
                </c:pt>
                <c:pt idx="102">
                  <c:v>-55.1</c:v>
                </c:pt>
                <c:pt idx="103">
                  <c:v>-56.4</c:v>
                </c:pt>
                <c:pt idx="104">
                  <c:v>-57.3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Auswertung'!$CA$28:$CA$159</c:f>
              <c:numCache>
                <c:formatCode>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ser>
          <c:idx val="2"/>
          <c:order val="2"/>
          <c:tx>
            <c:v>FEUCHTADIABATE</c:v>
          </c:tx>
          <c:spPr>
            <a:ln w="34925"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00B050"/>
                </a:solidFill>
                <a:ln>
                  <a:solidFill>
                    <a:schemeClr val="accent3">
                      <a:shade val="95000"/>
                      <a:satMod val="105000"/>
                    </a:schemeClr>
                  </a:solidFill>
                </a:ln>
              </c:spPr>
            </c:marker>
            <c:bubble3D val="0"/>
          </c:dPt>
          <c:xVal>
            <c:numRef>
              <c:f>Adiabaten!$T$32:$T$65</c:f>
              <c:numCache>
                <c:formatCode>0.0</c:formatCode>
                <c:ptCount val="34"/>
                <c:pt idx="0">
                  <c:v>24.5</c:v>
                </c:pt>
                <c:pt idx="1">
                  <c:v>22.610135306271534</c:v>
                </c:pt>
                <c:pt idx="2">
                  <c:v>20.689726923956442</c:v>
                </c:pt>
                <c:pt idx="3">
                  <c:v>18.73601819801366</c:v>
                </c:pt>
                <c:pt idx="4">
                  <c:v>16.745928357959126</c:v>
                </c:pt>
                <c:pt idx="5">
                  <c:v>14.71600659270508</c:v>
                </c:pt>
                <c:pt idx="6">
                  <c:v>12.642379447965439</c:v>
                </c:pt>
                <c:pt idx="7">
                  <c:v>10.520690948515295</c:v>
                </c:pt>
                <c:pt idx="8">
                  <c:v>8.3460350936413725</c:v>
                </c:pt>
                <c:pt idx="9">
                  <c:v>6.1128808705097928</c:v>
                </c:pt>
                <c:pt idx="10">
                  <c:v>3.8149908331254587</c:v>
                </c:pt>
                <c:pt idx="11">
                  <c:v>1.4453358395832132</c:v>
                </c:pt>
                <c:pt idx="12">
                  <c:v>-1.0039889303276275</c:v>
                </c:pt>
                <c:pt idx="13">
                  <c:v>-3.5418375709151104</c:v>
                </c:pt>
                <c:pt idx="14">
                  <c:v>-6.1780615258747762</c:v>
                </c:pt>
                <c:pt idx="15">
                  <c:v>-8.9235083311396881</c:v>
                </c:pt>
                <c:pt idx="16">
                  <c:v>-11.789935563756316</c:v>
                </c:pt>
                <c:pt idx="17">
                  <c:v>-14.789790577161989</c:v>
                </c:pt>
                <c:pt idx="18">
                  <c:v>-17.935793308305325</c:v>
                </c:pt>
                <c:pt idx="19">
                  <c:v>-21.240254097060681</c:v>
                </c:pt>
                <c:pt idx="20">
                  <c:v>-24.714074614264529</c:v>
                </c:pt>
                <c:pt idx="21">
                  <c:v>-28.365436702232994</c:v>
                </c:pt>
                <c:pt idx="22">
                  <c:v>-32.198296973378298</c:v>
                </c:pt>
                <c:pt idx="23">
                  <c:v>-36.21096522179284</c:v>
                </c:pt>
                <c:pt idx="24">
                  <c:v>-40.395190167436169</c:v>
                </c:pt>
                <c:pt idx="25">
                  <c:v>-44.736190890553907</c:v>
                </c:pt>
                <c:pt idx="26">
                  <c:v>-49.21385587320912</c:v>
                </c:pt>
                <c:pt idx="27">
                  <c:v>-53.804920529529937</c:v>
                </c:pt>
                <c:pt idx="28">
                  <c:v>-58.485546189496858</c:v>
                </c:pt>
                <c:pt idx="29">
                  <c:v>-63.233607636232982</c:v>
                </c:pt>
                <c:pt idx="30">
                  <c:v>-68.030208391059887</c:v>
                </c:pt>
                <c:pt idx="31">
                  <c:v>-72.860307038621528</c:v>
                </c:pt>
                <c:pt idx="32">
                  <c:v>-77.712628242121241</c:v>
                </c:pt>
                <c:pt idx="33">
                  <c:v>-82.579147146361535</c:v>
                </c:pt>
              </c:numCache>
            </c:numRef>
          </c:xVal>
          <c:yVal>
            <c:numRef>
              <c:f>Adiabaten!$V$32:$V$65</c:f>
              <c:numCache>
                <c:formatCode>0.0</c:formatCode>
                <c:ptCount val="34"/>
                <c:pt idx="0">
                  <c:v>975</c:v>
                </c:pt>
                <c:pt idx="1">
                  <c:v>920.30382448587989</c:v>
                </c:pt>
                <c:pt idx="2">
                  <c:v>868.12256057171271</c:v>
                </c:pt>
                <c:pt idx="3">
                  <c:v>818.36953633090104</c:v>
                </c:pt>
                <c:pt idx="4">
                  <c:v>770.95983007977372</c:v>
                </c:pt>
                <c:pt idx="5">
                  <c:v>725.81027575447376</c:v>
                </c:pt>
                <c:pt idx="6">
                  <c:v>682.83946718778782</c:v>
                </c:pt>
                <c:pt idx="7">
                  <c:v>641.96776127408145</c:v>
                </c:pt>
                <c:pt idx="8">
                  <c:v>603.11728001176778</c:v>
                </c:pt>
                <c:pt idx="9">
                  <c:v>566.21191141403528</c:v>
                </c:pt>
                <c:pt idx="10">
                  <c:v>531.1773092799275</c:v>
                </c:pt>
                <c:pt idx="11">
                  <c:v>497.9408918192828</c:v>
                </c:pt>
                <c:pt idx="12">
                  <c:v>466.43183912651381</c:v>
                </c:pt>
                <c:pt idx="13">
                  <c:v>436.58108949972348</c:v>
                </c:pt>
                <c:pt idx="14">
                  <c:v>408.3213346032324</c:v>
                </c:pt>
                <c:pt idx="15">
                  <c:v>381.58701347320681</c:v>
                </c:pt>
                <c:pt idx="16">
                  <c:v>356.31430536774678</c:v>
                </c:pt>
                <c:pt idx="17">
                  <c:v>332.44112146450124</c:v>
                </c:pt>
                <c:pt idx="18">
                  <c:v>309.9070954106316</c:v>
                </c:pt>
                <c:pt idx="19">
                  <c:v>288.65357273173305</c:v>
                </c:pt>
                <c:pt idx="20">
                  <c:v>268.62359910814973</c:v>
                </c:pt>
                <c:pt idx="21">
                  <c:v>249.76190752897753</c:v>
                </c:pt>
                <c:pt idx="22">
                  <c:v>232.01490433593415</c:v>
                </c:pt>
                <c:pt idx="23">
                  <c:v>215.33065417118652</c:v>
                </c:pt>
                <c:pt idx="24">
                  <c:v>199.65886384515622</c:v>
                </c:pt>
                <c:pt idx="25">
                  <c:v>184.95086514226986</c:v>
                </c:pt>
                <c:pt idx="26">
                  <c:v>171.15959658457797</c:v>
                </c:pt>
                <c:pt idx="27">
                  <c:v>158.23958417512878</c:v>
                </c:pt>
                <c:pt idx="28">
                  <c:v>146.14692114494656</c:v>
                </c:pt>
                <c:pt idx="29">
                  <c:v>134.83924672941995</c:v>
                </c:pt>
                <c:pt idx="30">
                  <c:v>124.27572400185389</c:v>
                </c:pt>
                <c:pt idx="31">
                  <c:v>114.41701679386607</c:v>
                </c:pt>
                <c:pt idx="32">
                  <c:v>105.22526573421241</c:v>
                </c:pt>
                <c:pt idx="33">
                  <c:v>96.664063439502684</c:v>
                </c:pt>
              </c:numCache>
            </c:numRef>
          </c:yVal>
          <c:smooth val="0"/>
        </c:ser>
        <c:ser>
          <c:idx val="3"/>
          <c:order val="3"/>
          <c:tx>
            <c:v>TROCKENADIABATE</c:v>
          </c:tx>
          <c:spPr>
            <a:ln w="34925"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7030A0"/>
                </a:solidFill>
              </c:spPr>
            </c:marker>
            <c:bubble3D val="0"/>
          </c:dPt>
          <c:xVal>
            <c:numRef>
              <c:f>Adiabaten!$B$75:$B$108</c:f>
              <c:numCache>
                <c:formatCode>0.0</c:formatCode>
                <c:ptCount val="34"/>
                <c:pt idx="0" formatCode="General">
                  <c:v>28</c:v>
                </c:pt>
                <c:pt idx="1">
                  <c:v>22.855568128310683</c:v>
                </c:pt>
                <c:pt idx="2">
                  <c:v>17.975568128310684</c:v>
                </c:pt>
                <c:pt idx="3">
                  <c:v>13.095568128310683</c:v>
                </c:pt>
                <c:pt idx="4">
                  <c:v>8.2155681283106823</c:v>
                </c:pt>
                <c:pt idx="5">
                  <c:v>3.3355681283106833</c:v>
                </c:pt>
                <c:pt idx="6">
                  <c:v>-1.5444318716893193</c:v>
                </c:pt>
                <c:pt idx="7">
                  <c:v>-6.4244318716893147</c:v>
                </c:pt>
                <c:pt idx="8">
                  <c:v>-11.304431871689317</c:v>
                </c:pt>
                <c:pt idx="9">
                  <c:v>-16.18443187168932</c:v>
                </c:pt>
                <c:pt idx="10">
                  <c:v>-21.064431871689315</c:v>
                </c:pt>
                <c:pt idx="11">
                  <c:v>-25.944431871689318</c:v>
                </c:pt>
                <c:pt idx="12">
                  <c:v>-30.824431871689313</c:v>
                </c:pt>
                <c:pt idx="13">
                  <c:v>-35.704431871689316</c:v>
                </c:pt>
                <c:pt idx="14">
                  <c:v>-40.584431871689318</c:v>
                </c:pt>
                <c:pt idx="15">
                  <c:v>-45.464431871689314</c:v>
                </c:pt>
                <c:pt idx="16">
                  <c:v>-50.344431871689309</c:v>
                </c:pt>
                <c:pt idx="17">
                  <c:v>-55.224431871689319</c:v>
                </c:pt>
                <c:pt idx="18">
                  <c:v>-60.104431871689314</c:v>
                </c:pt>
                <c:pt idx="19">
                  <c:v>-64.98443187168931</c:v>
                </c:pt>
                <c:pt idx="20">
                  <c:v>-69.86443187168932</c:v>
                </c:pt>
                <c:pt idx="21">
                  <c:v>-74.744431871689315</c:v>
                </c:pt>
                <c:pt idx="22">
                  <c:v>-79.62443187168931</c:v>
                </c:pt>
                <c:pt idx="23">
                  <c:v>-84.50443187168932</c:v>
                </c:pt>
                <c:pt idx="24">
                  <c:v>-89.384431871689316</c:v>
                </c:pt>
                <c:pt idx="25">
                  <c:v>-94.264431871689311</c:v>
                </c:pt>
                <c:pt idx="26">
                  <c:v>-99.144431871689321</c:v>
                </c:pt>
                <c:pt idx="27">
                  <c:v>-104.0244318716893</c:v>
                </c:pt>
                <c:pt idx="28">
                  <c:v>-108.90443187168933</c:v>
                </c:pt>
                <c:pt idx="29">
                  <c:v>-113.78443187168932</c:v>
                </c:pt>
                <c:pt idx="30">
                  <c:v>-118.66443187168932</c:v>
                </c:pt>
                <c:pt idx="31">
                  <c:v>-123.54443187168931</c:v>
                </c:pt>
                <c:pt idx="32">
                  <c:v>-128.42443187168931</c:v>
                </c:pt>
                <c:pt idx="33">
                  <c:v>-133.3044318716893</c:v>
                </c:pt>
              </c:numCache>
            </c:numRef>
          </c:xVal>
          <c:yVal>
            <c:numRef>
              <c:f>Adiabaten!$C$75:$C$107</c:f>
              <c:numCache>
                <c:formatCode>0.0</c:formatCode>
                <c:ptCount val="33"/>
                <c:pt idx="0" formatCode="General">
                  <c:v>1010</c:v>
                </c:pt>
                <c:pt idx="1">
                  <c:v>951.52105948711358</c:v>
                </c:pt>
                <c:pt idx="2">
                  <c:v>895.81444432492094</c:v>
                </c:pt>
                <c:pt idx="3">
                  <c:v>842.77847465649415</c:v>
                </c:pt>
                <c:pt idx="4">
                  <c:v>792.31408382063489</c:v>
                </c:pt>
                <c:pt idx="5">
                  <c:v>744.32478054120963</c:v>
                </c:pt>
                <c:pt idx="6">
                  <c:v>698.71661122895057</c:v>
                </c:pt>
                <c:pt idx="7">
                  <c:v>655.39812239671562</c:v>
                </c:pt>
                <c:pt idx="8">
                  <c:v>614.28032318920771</c:v>
                </c:pt>
                <c:pt idx="9">
                  <c:v>575.27664802819027</c:v>
                </c:pt>
                <c:pt idx="10">
                  <c:v>538.30291937425432</c:v>
                </c:pt>
                <c:pt idx="11">
                  <c:v>503.2773106062026</c:v>
                </c:pt>
                <c:pt idx="12">
                  <c:v>470.12030901916273</c:v>
                </c:pt>
                <c:pt idx="13">
                  <c:v>438.75467894254149</c:v>
                </c:pt>
                <c:pt idx="14">
                  <c:v>409.10542497897825</c:v>
                </c:pt>
                <c:pt idx="15">
                  <c:v>381.09975536546528</c:v>
                </c:pt>
                <c:pt idx="16">
                  <c:v>354.66704545784069</c:v>
                </c:pt>
                <c:pt idx="17">
                  <c:v>329.73880133988439</c:v>
                </c:pt>
                <c:pt idx="18">
                  <c:v>306.24862355827423</c:v>
                </c:pt>
                <c:pt idx="19">
                  <c:v>284.13217098469096</c:v>
                </c:pt>
                <c:pt idx="20">
                  <c:v>263.3271248063981</c:v>
                </c:pt>
                <c:pt idx="21">
                  <c:v>243.77315264664293</c:v>
                </c:pt>
                <c:pt idx="22">
                  <c:v>225.41187281627023</c:v>
                </c:pt>
                <c:pt idx="23">
                  <c:v>208.18681869797118</c:v>
                </c:pt>
                <c:pt idx="24">
                  <c:v>192.04340326462423</c:v>
                </c:pt>
                <c:pt idx="25">
                  <c:v>176.92888373322654</c:v>
                </c:pt>
                <c:pt idx="26">
                  <c:v>162.79232635595437</c:v>
                </c:pt>
                <c:pt idx="27">
                  <c:v>149.58457134992784</c:v>
                </c:pt>
                <c:pt idx="28">
                  <c:v>137.25819796730417</c:v>
                </c:pt>
                <c:pt idx="29">
                  <c:v>125.76748970736524</c:v>
                </c:pt>
                <c:pt idx="30">
                  <c:v>115.0683996723147</c:v>
                </c:pt>
                <c:pt idx="31">
                  <c:v>105.11851606854471</c:v>
                </c:pt>
                <c:pt idx="32">
                  <c:v>95.877027855191031</c:v>
                </c:pt>
              </c:numCache>
            </c:numRef>
          </c:yVal>
          <c:smooth val="0"/>
        </c:ser>
        <c:ser>
          <c:idx val="4"/>
          <c:order val="4"/>
          <c:tx>
            <c:v>SÄTTIGUNGSMISCHUNGSVERHÄLTNIS</c:v>
          </c:tx>
          <c:spPr>
            <a:ln w="34925">
              <a:solidFill>
                <a:srgbClr val="FFC000"/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FFC000"/>
                </a:solidFill>
              </c:spPr>
            </c:marker>
            <c:bubble3D val="0"/>
          </c:dPt>
          <c:xVal>
            <c:numRef>
              <c:f>Sättigungsmischungsverhältnis!$BB$65:$BB$85</c:f>
              <c:numCache>
                <c:formatCode>0.00</c:formatCode>
                <c:ptCount val="21"/>
                <c:pt idx="0">
                  <c:v>24.99998164457304</c:v>
                </c:pt>
                <c:pt idx="1">
                  <c:v>24.15418444967014</c:v>
                </c:pt>
                <c:pt idx="2">
                  <c:v>23.268311686950085</c:v>
                </c:pt>
                <c:pt idx="3">
                  <c:v>22.338080988515344</c:v>
                </c:pt>
                <c:pt idx="4">
                  <c:v>21.358468124470903</c:v>
                </c:pt>
                <c:pt idx="5">
                  <c:v>20.323522988184095</c:v>
                </c:pt>
                <c:pt idx="6">
                  <c:v>19.226124294327576</c:v>
                </c:pt>
                <c:pt idx="7">
                  <c:v>18.057646602961029</c:v>
                </c:pt>
                <c:pt idx="8">
                  <c:v>16.807498941964354</c:v>
                </c:pt>
                <c:pt idx="9">
                  <c:v>15.46247026587281</c:v>
                </c:pt>
                <c:pt idx="10">
                  <c:v>14.005775183424532</c:v>
                </c:pt>
                <c:pt idx="11">
                  <c:v>12.415617460915769</c:v>
                </c:pt>
                <c:pt idx="12">
                  <c:v>10.662943737888668</c:v>
                </c:pt>
                <c:pt idx="13">
                  <c:v>8.7077653730082147</c:v>
                </c:pt>
                <c:pt idx="14">
                  <c:v>6.4927825335642524</c:v>
                </c:pt>
                <c:pt idx="15">
                  <c:v>3.9315010010717515</c:v>
                </c:pt>
                <c:pt idx="16">
                  <c:v>0.88386059112303883</c:v>
                </c:pt>
                <c:pt idx="17">
                  <c:v>-2.9008699731449497</c:v>
                </c:pt>
                <c:pt idx="18">
                  <c:v>-7.947727258533007</c:v>
                </c:pt>
                <c:pt idx="19">
                  <c:v>-15.724547169663708</c:v>
                </c:pt>
                <c:pt idx="20">
                  <c:v>-36.248458369359327</c:v>
                </c:pt>
              </c:numCache>
            </c:numRef>
          </c:xVal>
          <c:yVal>
            <c:numRef>
              <c:f>Sättigungsmischungsverhältnis!$BC$65:$BC$85</c:f>
              <c:numCache>
                <c:formatCode>General</c:formatCode>
                <c:ptCount val="21"/>
                <c:pt idx="0">
                  <c:v>1010</c:v>
                </c:pt>
                <c:pt idx="1">
                  <c:v>960</c:v>
                </c:pt>
                <c:pt idx="2">
                  <c:v>910</c:v>
                </c:pt>
                <c:pt idx="3">
                  <c:v>860</c:v>
                </c:pt>
                <c:pt idx="4">
                  <c:v>810</c:v>
                </c:pt>
                <c:pt idx="5">
                  <c:v>760</c:v>
                </c:pt>
                <c:pt idx="6">
                  <c:v>710</c:v>
                </c:pt>
                <c:pt idx="7">
                  <c:v>660</c:v>
                </c:pt>
                <c:pt idx="8">
                  <c:v>610</c:v>
                </c:pt>
                <c:pt idx="9">
                  <c:v>560</c:v>
                </c:pt>
                <c:pt idx="10">
                  <c:v>510</c:v>
                </c:pt>
                <c:pt idx="11">
                  <c:v>460</c:v>
                </c:pt>
                <c:pt idx="12">
                  <c:v>410</c:v>
                </c:pt>
                <c:pt idx="13">
                  <c:v>360</c:v>
                </c:pt>
                <c:pt idx="14">
                  <c:v>310</c:v>
                </c:pt>
                <c:pt idx="15">
                  <c:v>260</c:v>
                </c:pt>
                <c:pt idx="16">
                  <c:v>210</c:v>
                </c:pt>
                <c:pt idx="17">
                  <c:v>160</c:v>
                </c:pt>
                <c:pt idx="18">
                  <c:v>110</c:v>
                </c:pt>
                <c:pt idx="19">
                  <c:v>60</c:v>
                </c:pt>
                <c:pt idx="20">
                  <c:v>10.01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87456"/>
        <c:axId val="92789376"/>
      </c:scatterChart>
      <c:valAx>
        <c:axId val="92787456"/>
        <c:scaling>
          <c:orientation val="minMax"/>
          <c:max val="50"/>
          <c:min val="-1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de-DE" sz="1600"/>
                  <a:t>T°C</a:t>
                </a:r>
              </a:p>
            </c:rich>
          </c:tx>
          <c:layout>
            <c:manualLayout>
              <c:xMode val="edge"/>
              <c:yMode val="edge"/>
              <c:x val="0.52140493283927747"/>
              <c:y val="0.91871873223629774"/>
            </c:manualLayout>
          </c:layout>
          <c:overlay val="0"/>
        </c:title>
        <c:numFmt formatCode="0" sourceLinked="0"/>
        <c:majorTickMark val="out"/>
        <c:minorTickMark val="none"/>
        <c:tickLblPos val="high"/>
        <c:crossAx val="92789376"/>
        <c:crosses val="autoZero"/>
        <c:crossBetween val="midCat"/>
        <c:majorUnit val="5"/>
      </c:valAx>
      <c:valAx>
        <c:axId val="92789376"/>
        <c:scaling>
          <c:orientation val="maxMin"/>
          <c:max val="103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de-DE" sz="1400"/>
                  <a:t>Luftdruc k (hPa)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92787456"/>
        <c:crosses val="autoZero"/>
        <c:crossBetween val="midCat"/>
        <c:majorUnit val="50"/>
      </c:valAx>
    </c:plotArea>
    <c:legend>
      <c:legendPos val="b"/>
      <c:layout>
        <c:manualLayout>
          <c:xMode val="edge"/>
          <c:yMode val="edge"/>
          <c:x val="8.6764705882352938E-2"/>
          <c:y val="0.94366401412150491"/>
          <c:w val="0.89999999999999991"/>
          <c:h val="2.337803690373169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'Eingabe Diagramme'!$B$15</c:f>
          <c:strCache>
            <c:ptCount val="1"/>
            <c:pt idx="0">
              <c:v>48698 WSSS Singapore Observations at 00Z 20 Sep 2019</c:v>
            </c:pt>
          </c:strCache>
        </c:strRef>
      </c:tx>
      <c:layout>
        <c:manualLayout>
          <c:xMode val="edge"/>
          <c:yMode val="edge"/>
          <c:x val="0.27485294117647058"/>
          <c:y val="9.3970231168001885E-3"/>
        </c:manualLayout>
      </c:layout>
      <c:overlay val="1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6319129226493744E-2"/>
          <c:y val="7.2204407203841775E-2"/>
          <c:w val="0.88651809802844417"/>
          <c:h val="0.85410468012446983"/>
        </c:manualLayout>
      </c:layout>
      <c:scatterChart>
        <c:scatterStyle val="lineMarker"/>
        <c:varyColors val="0"/>
        <c:ser>
          <c:idx val="1"/>
          <c:order val="1"/>
          <c:tx>
            <c:v>TAUPUNKT</c:v>
          </c:tx>
          <c:spPr>
            <a:ln w="3492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'Daten Auswertung'!$AP$28:$AP$159</c:f>
              <c:numCache>
                <c:formatCode>0.0</c:formatCode>
                <c:ptCount val="132"/>
                <c:pt idx="0">
                  <c:v>25</c:v>
                </c:pt>
                <c:pt idx="1">
                  <c:v>24.9</c:v>
                </c:pt>
                <c:pt idx="2">
                  <c:v>24.4</c:v>
                </c:pt>
                <c:pt idx="3">
                  <c:v>23.4</c:v>
                </c:pt>
                <c:pt idx="4">
                  <c:v>23</c:v>
                </c:pt>
                <c:pt idx="5">
                  <c:v>21.3</c:v>
                </c:pt>
                <c:pt idx="6">
                  <c:v>20.399999999999999</c:v>
                </c:pt>
                <c:pt idx="7">
                  <c:v>19.8</c:v>
                </c:pt>
                <c:pt idx="8">
                  <c:v>19.2</c:v>
                </c:pt>
                <c:pt idx="9">
                  <c:v>17.8</c:v>
                </c:pt>
                <c:pt idx="10">
                  <c:v>15.1</c:v>
                </c:pt>
                <c:pt idx="11">
                  <c:v>15.2</c:v>
                </c:pt>
                <c:pt idx="12">
                  <c:v>13.3</c:v>
                </c:pt>
                <c:pt idx="13">
                  <c:v>7</c:v>
                </c:pt>
                <c:pt idx="14">
                  <c:v>6.8</c:v>
                </c:pt>
                <c:pt idx="15">
                  <c:v>2.2000000000000002</c:v>
                </c:pt>
                <c:pt idx="16">
                  <c:v>1.8</c:v>
                </c:pt>
                <c:pt idx="17">
                  <c:v>-8.6</c:v>
                </c:pt>
                <c:pt idx="18">
                  <c:v>-9</c:v>
                </c:pt>
                <c:pt idx="19">
                  <c:v>-20.7</c:v>
                </c:pt>
                <c:pt idx="20">
                  <c:v>-26.2</c:v>
                </c:pt>
                <c:pt idx="21">
                  <c:v>-22.9</c:v>
                </c:pt>
                <c:pt idx="22">
                  <c:v>-21</c:v>
                </c:pt>
                <c:pt idx="23">
                  <c:v>-20.5</c:v>
                </c:pt>
                <c:pt idx="24">
                  <c:v>-14.5</c:v>
                </c:pt>
                <c:pt idx="25">
                  <c:v>-13.1</c:v>
                </c:pt>
                <c:pt idx="26">
                  <c:v>-18.100000000000001</c:v>
                </c:pt>
                <c:pt idx="27">
                  <c:v>-23.2</c:v>
                </c:pt>
                <c:pt idx="28">
                  <c:v>-23.7</c:v>
                </c:pt>
                <c:pt idx="29">
                  <c:v>-28.3</c:v>
                </c:pt>
                <c:pt idx="30">
                  <c:v>-35.9</c:v>
                </c:pt>
                <c:pt idx="31">
                  <c:v>-43.5</c:v>
                </c:pt>
                <c:pt idx="32">
                  <c:v>-46.5</c:v>
                </c:pt>
                <c:pt idx="33">
                  <c:v>-50.1</c:v>
                </c:pt>
                <c:pt idx="34">
                  <c:v>-53.7</c:v>
                </c:pt>
                <c:pt idx="35">
                  <c:v>-55.3</c:v>
                </c:pt>
                <c:pt idx="36">
                  <c:v>-57.1</c:v>
                </c:pt>
                <c:pt idx="37">
                  <c:v>-55.5</c:v>
                </c:pt>
                <c:pt idx="38">
                  <c:v>-51.2</c:v>
                </c:pt>
                <c:pt idx="39">
                  <c:v>-46.1</c:v>
                </c:pt>
                <c:pt idx="40">
                  <c:v>-45.2</c:v>
                </c:pt>
                <c:pt idx="41">
                  <c:v>-45.4</c:v>
                </c:pt>
                <c:pt idx="42">
                  <c:v>-46.5</c:v>
                </c:pt>
                <c:pt idx="43">
                  <c:v>-46.7</c:v>
                </c:pt>
                <c:pt idx="44">
                  <c:v>-59.5</c:v>
                </c:pt>
                <c:pt idx="45">
                  <c:v>-54.3</c:v>
                </c:pt>
                <c:pt idx="46">
                  <c:v>-55.6</c:v>
                </c:pt>
                <c:pt idx="47">
                  <c:v>-56.9</c:v>
                </c:pt>
                <c:pt idx="48">
                  <c:v>-57.2</c:v>
                </c:pt>
                <c:pt idx="49">
                  <c:v>-68.099999999999994</c:v>
                </c:pt>
                <c:pt idx="50">
                  <c:v>-69.099999999999994</c:v>
                </c:pt>
                <c:pt idx="51">
                  <c:v>-73.3</c:v>
                </c:pt>
                <c:pt idx="52">
                  <c:v>-74</c:v>
                </c:pt>
                <c:pt idx="53">
                  <c:v>-74.7</c:v>
                </c:pt>
                <c:pt idx="54">
                  <c:v>-77.2</c:v>
                </c:pt>
                <c:pt idx="55">
                  <c:v>-78.7</c:v>
                </c:pt>
                <c:pt idx="56">
                  <c:v>-81.8</c:v>
                </c:pt>
                <c:pt idx="57">
                  <c:v>-87.1</c:v>
                </c:pt>
                <c:pt idx="58">
                  <c:v>-87</c:v>
                </c:pt>
                <c:pt idx="59">
                  <c:v>-86.6</c:v>
                </c:pt>
                <c:pt idx="60">
                  <c:v>-86.5</c:v>
                </c:pt>
                <c:pt idx="61">
                  <c:v>-86.9</c:v>
                </c:pt>
                <c:pt idx="62">
                  <c:v>-87.1</c:v>
                </c:pt>
                <c:pt idx="63">
                  <c:v>-87.3</c:v>
                </c:pt>
                <c:pt idx="64">
                  <c:v>-88</c:v>
                </c:pt>
                <c:pt idx="65">
                  <c:v>-88.7</c:v>
                </c:pt>
                <c:pt idx="66">
                  <c:v>-88.9</c:v>
                </c:pt>
                <c:pt idx="67">
                  <c:v>-89.4</c:v>
                </c:pt>
                <c:pt idx="68">
                  <c:v>-90.5</c:v>
                </c:pt>
                <c:pt idx="69">
                  <c:v>-91.8</c:v>
                </c:pt>
                <c:pt idx="70">
                  <c:v>-92.2</c:v>
                </c:pt>
                <c:pt idx="71">
                  <c:v>-92.6</c:v>
                </c:pt>
                <c:pt idx="72">
                  <c:v>-92.9</c:v>
                </c:pt>
                <c:pt idx="73">
                  <c:v>-93.9</c:v>
                </c:pt>
                <c:pt idx="74">
                  <c:v>-93.7</c:v>
                </c:pt>
                <c:pt idx="75">
                  <c:v>-93.1</c:v>
                </c:pt>
                <c:pt idx="76">
                  <c:v>-93</c:v>
                </c:pt>
                <c:pt idx="77">
                  <c:v>-92.8</c:v>
                </c:pt>
                <c:pt idx="78">
                  <c:v>-92.5</c:v>
                </c:pt>
                <c:pt idx="79">
                  <c:v>-92.1</c:v>
                </c:pt>
                <c:pt idx="80">
                  <c:v>-91.9</c:v>
                </c:pt>
                <c:pt idx="81">
                  <c:v>-92</c:v>
                </c:pt>
                <c:pt idx="82">
                  <c:v>-92.1</c:v>
                </c:pt>
                <c:pt idx="83">
                  <c:v>-92.1</c:v>
                </c:pt>
                <c:pt idx="84">
                  <c:v>-92.7</c:v>
                </c:pt>
                <c:pt idx="85">
                  <c:v>-93.1</c:v>
                </c:pt>
                <c:pt idx="86">
                  <c:v>-93.3</c:v>
                </c:pt>
                <c:pt idx="87">
                  <c:v>-93.4</c:v>
                </c:pt>
                <c:pt idx="88">
                  <c:v>-93.5</c:v>
                </c:pt>
                <c:pt idx="89">
                  <c:v>-92.9</c:v>
                </c:pt>
                <c:pt idx="90">
                  <c:v>-92.5</c:v>
                </c:pt>
                <c:pt idx="91">
                  <c:v>-92.5</c:v>
                </c:pt>
                <c:pt idx="92">
                  <c:v>-92.5</c:v>
                </c:pt>
                <c:pt idx="93">
                  <c:v>-92.6</c:v>
                </c:pt>
                <c:pt idx="94">
                  <c:v>-92.6</c:v>
                </c:pt>
                <c:pt idx="95">
                  <c:v>-92.7</c:v>
                </c:pt>
                <c:pt idx="96">
                  <c:v>-93.3</c:v>
                </c:pt>
                <c:pt idx="97">
                  <c:v>-93.5</c:v>
                </c:pt>
                <c:pt idx="98">
                  <c:v>-94.1</c:v>
                </c:pt>
                <c:pt idx="99">
                  <c:v>-93</c:v>
                </c:pt>
                <c:pt idx="100">
                  <c:v>-91.1</c:v>
                </c:pt>
                <c:pt idx="101">
                  <c:v>-90.3</c:v>
                </c:pt>
                <c:pt idx="102">
                  <c:v>-90.3</c:v>
                </c:pt>
                <c:pt idx="103">
                  <c:v>-90.3</c:v>
                </c:pt>
                <c:pt idx="104">
                  <c:v>-90.3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Auswertung'!$AQ$28:$AQ$159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ser>
          <c:idx val="2"/>
          <c:order val="2"/>
          <c:tx>
            <c:v>TEMPERATUR</c:v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'Daten Auswertung'!$AR$28:$AR$159</c:f>
              <c:numCache>
                <c:formatCode>0.0</c:formatCode>
                <c:ptCount val="132"/>
                <c:pt idx="0">
                  <c:v>28.2</c:v>
                </c:pt>
                <c:pt idx="1">
                  <c:v>28.1</c:v>
                </c:pt>
                <c:pt idx="2">
                  <c:v>27.2</c:v>
                </c:pt>
                <c:pt idx="3">
                  <c:v>24.5</c:v>
                </c:pt>
                <c:pt idx="4">
                  <c:v>23.2</c:v>
                </c:pt>
                <c:pt idx="5">
                  <c:v>21.9</c:v>
                </c:pt>
                <c:pt idx="6">
                  <c:v>21.2</c:v>
                </c:pt>
                <c:pt idx="7">
                  <c:v>20.399999999999999</c:v>
                </c:pt>
                <c:pt idx="8">
                  <c:v>19.600000000000001</c:v>
                </c:pt>
                <c:pt idx="9">
                  <c:v>18.899999999999999</c:v>
                </c:pt>
                <c:pt idx="10">
                  <c:v>17.399999999999999</c:v>
                </c:pt>
                <c:pt idx="11">
                  <c:v>17.399999999999999</c:v>
                </c:pt>
                <c:pt idx="12">
                  <c:v>17.2</c:v>
                </c:pt>
                <c:pt idx="13">
                  <c:v>18</c:v>
                </c:pt>
                <c:pt idx="14">
                  <c:v>17.899999999999999</c:v>
                </c:pt>
                <c:pt idx="15">
                  <c:v>16.2</c:v>
                </c:pt>
                <c:pt idx="16">
                  <c:v>15.9</c:v>
                </c:pt>
                <c:pt idx="17">
                  <c:v>9.4</c:v>
                </c:pt>
                <c:pt idx="18">
                  <c:v>6</c:v>
                </c:pt>
                <c:pt idx="19">
                  <c:v>2.5</c:v>
                </c:pt>
                <c:pt idx="20">
                  <c:v>0.8</c:v>
                </c:pt>
                <c:pt idx="21">
                  <c:v>0.1</c:v>
                </c:pt>
                <c:pt idx="22">
                  <c:v>-0.4</c:v>
                </c:pt>
                <c:pt idx="23">
                  <c:v>-0.5</c:v>
                </c:pt>
                <c:pt idx="24">
                  <c:v>-4.2</c:v>
                </c:pt>
                <c:pt idx="25">
                  <c:v>-5.0999999999999996</c:v>
                </c:pt>
                <c:pt idx="26">
                  <c:v>-5.8</c:v>
                </c:pt>
                <c:pt idx="27">
                  <c:v>-6.6</c:v>
                </c:pt>
                <c:pt idx="28">
                  <c:v>-6.7</c:v>
                </c:pt>
                <c:pt idx="29">
                  <c:v>-7.3</c:v>
                </c:pt>
                <c:pt idx="30">
                  <c:v>-11.9</c:v>
                </c:pt>
                <c:pt idx="31">
                  <c:v>-13.8</c:v>
                </c:pt>
                <c:pt idx="32">
                  <c:v>-14.5</c:v>
                </c:pt>
                <c:pt idx="33">
                  <c:v>-17.100000000000001</c:v>
                </c:pt>
                <c:pt idx="34">
                  <c:v>-19.7</c:v>
                </c:pt>
                <c:pt idx="35">
                  <c:v>-24.1</c:v>
                </c:pt>
                <c:pt idx="36">
                  <c:v>-29.1</c:v>
                </c:pt>
                <c:pt idx="37">
                  <c:v>-29.5</c:v>
                </c:pt>
                <c:pt idx="38">
                  <c:v>-34.4</c:v>
                </c:pt>
                <c:pt idx="39">
                  <c:v>-40.299999999999997</c:v>
                </c:pt>
                <c:pt idx="40">
                  <c:v>-41.3</c:v>
                </c:pt>
                <c:pt idx="41">
                  <c:v>-41.5</c:v>
                </c:pt>
                <c:pt idx="42">
                  <c:v>-43</c:v>
                </c:pt>
                <c:pt idx="43">
                  <c:v>-43.3</c:v>
                </c:pt>
                <c:pt idx="44">
                  <c:v>-48.5</c:v>
                </c:pt>
                <c:pt idx="45">
                  <c:v>-49.3</c:v>
                </c:pt>
                <c:pt idx="46">
                  <c:v>-51.1</c:v>
                </c:pt>
                <c:pt idx="47">
                  <c:v>-53.5</c:v>
                </c:pt>
                <c:pt idx="48">
                  <c:v>-54.7</c:v>
                </c:pt>
                <c:pt idx="49">
                  <c:v>-57.1</c:v>
                </c:pt>
                <c:pt idx="50">
                  <c:v>-57.1</c:v>
                </c:pt>
                <c:pt idx="51">
                  <c:v>-57.3</c:v>
                </c:pt>
                <c:pt idx="52">
                  <c:v>-62.1</c:v>
                </c:pt>
                <c:pt idx="53">
                  <c:v>-66.7</c:v>
                </c:pt>
                <c:pt idx="54">
                  <c:v>-71.599999999999994</c:v>
                </c:pt>
                <c:pt idx="55">
                  <c:v>-74.5</c:v>
                </c:pt>
                <c:pt idx="56">
                  <c:v>-75.5</c:v>
                </c:pt>
                <c:pt idx="57">
                  <c:v>-77.099999999999994</c:v>
                </c:pt>
                <c:pt idx="58">
                  <c:v>-77.400000000000006</c:v>
                </c:pt>
                <c:pt idx="59">
                  <c:v>-78.3</c:v>
                </c:pt>
                <c:pt idx="60">
                  <c:v>-78.5</c:v>
                </c:pt>
                <c:pt idx="61">
                  <c:v>-77.900000000000006</c:v>
                </c:pt>
                <c:pt idx="62">
                  <c:v>-78.3</c:v>
                </c:pt>
                <c:pt idx="63">
                  <c:v>-78.7</c:v>
                </c:pt>
                <c:pt idx="64">
                  <c:v>-80.3</c:v>
                </c:pt>
                <c:pt idx="65">
                  <c:v>-81.7</c:v>
                </c:pt>
                <c:pt idx="66">
                  <c:v>-78.900000000000006</c:v>
                </c:pt>
                <c:pt idx="67">
                  <c:v>-77.2</c:v>
                </c:pt>
                <c:pt idx="68">
                  <c:v>-73.5</c:v>
                </c:pt>
                <c:pt idx="69">
                  <c:v>-72.099999999999994</c:v>
                </c:pt>
                <c:pt idx="70">
                  <c:v>-71.7</c:v>
                </c:pt>
                <c:pt idx="71">
                  <c:v>-71.3</c:v>
                </c:pt>
                <c:pt idx="72">
                  <c:v>-70.900000000000006</c:v>
                </c:pt>
                <c:pt idx="73">
                  <c:v>-65.900000000000006</c:v>
                </c:pt>
                <c:pt idx="74">
                  <c:v>-66.2</c:v>
                </c:pt>
                <c:pt idx="75">
                  <c:v>-67.099999999999994</c:v>
                </c:pt>
                <c:pt idx="76">
                  <c:v>-67</c:v>
                </c:pt>
                <c:pt idx="77">
                  <c:v>-66.8</c:v>
                </c:pt>
                <c:pt idx="78">
                  <c:v>-66.5</c:v>
                </c:pt>
                <c:pt idx="79">
                  <c:v>-66.099999999999994</c:v>
                </c:pt>
                <c:pt idx="80">
                  <c:v>-65.900000000000006</c:v>
                </c:pt>
                <c:pt idx="81">
                  <c:v>-64.8</c:v>
                </c:pt>
                <c:pt idx="82">
                  <c:v>-63.7</c:v>
                </c:pt>
                <c:pt idx="83">
                  <c:v>-63.1</c:v>
                </c:pt>
                <c:pt idx="84">
                  <c:v>-64.599999999999994</c:v>
                </c:pt>
                <c:pt idx="85">
                  <c:v>-65.8</c:v>
                </c:pt>
                <c:pt idx="86">
                  <c:v>-66.3</c:v>
                </c:pt>
                <c:pt idx="87">
                  <c:v>-65.599999999999994</c:v>
                </c:pt>
                <c:pt idx="88">
                  <c:v>-64.5</c:v>
                </c:pt>
                <c:pt idx="89">
                  <c:v>-62.8</c:v>
                </c:pt>
                <c:pt idx="90">
                  <c:v>-61.5</c:v>
                </c:pt>
                <c:pt idx="91">
                  <c:v>-61.6</c:v>
                </c:pt>
                <c:pt idx="92">
                  <c:v>-62</c:v>
                </c:pt>
                <c:pt idx="93">
                  <c:v>-62.6</c:v>
                </c:pt>
                <c:pt idx="94">
                  <c:v>-63</c:v>
                </c:pt>
                <c:pt idx="95">
                  <c:v>-63.7</c:v>
                </c:pt>
                <c:pt idx="96">
                  <c:v>-65</c:v>
                </c:pt>
                <c:pt idx="97">
                  <c:v>-65.5</c:v>
                </c:pt>
                <c:pt idx="98">
                  <c:v>-64.099999999999994</c:v>
                </c:pt>
                <c:pt idx="99">
                  <c:v>-61.3</c:v>
                </c:pt>
                <c:pt idx="100">
                  <c:v>-56.4</c:v>
                </c:pt>
                <c:pt idx="101">
                  <c:v>-54.3</c:v>
                </c:pt>
                <c:pt idx="102">
                  <c:v>-55.1</c:v>
                </c:pt>
                <c:pt idx="103">
                  <c:v>-56.4</c:v>
                </c:pt>
                <c:pt idx="104">
                  <c:v>-57.3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Auswertung'!$AS$28:$AS$159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ser>
          <c:idx val="0"/>
          <c:order val="0"/>
          <c:tx>
            <c:v>STANDARDATMOSPHÄRE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'Daten Auswertung'!$BR$28:$BR$159</c:f>
              <c:numCache>
                <c:formatCode>0.0</c:formatCode>
                <c:ptCount val="132"/>
                <c:pt idx="0">
                  <c:v>28</c:v>
                </c:pt>
                <c:pt idx="1">
                  <c:v>27.35</c:v>
                </c:pt>
                <c:pt idx="2">
                  <c:v>26.7</c:v>
                </c:pt>
                <c:pt idx="3">
                  <c:v>26.05</c:v>
                </c:pt>
                <c:pt idx="4">
                  <c:v>25.4</c:v>
                </c:pt>
                <c:pt idx="5">
                  <c:v>24.75</c:v>
                </c:pt>
                <c:pt idx="6">
                  <c:v>24.1</c:v>
                </c:pt>
                <c:pt idx="7">
                  <c:v>23.45</c:v>
                </c:pt>
                <c:pt idx="8">
                  <c:v>22.8</c:v>
                </c:pt>
                <c:pt idx="9">
                  <c:v>22.15</c:v>
                </c:pt>
                <c:pt idx="10">
                  <c:v>21.5</c:v>
                </c:pt>
                <c:pt idx="11">
                  <c:v>20.85</c:v>
                </c:pt>
                <c:pt idx="12">
                  <c:v>20.2</c:v>
                </c:pt>
                <c:pt idx="13">
                  <c:v>19.55</c:v>
                </c:pt>
                <c:pt idx="14">
                  <c:v>18.899999999999999</c:v>
                </c:pt>
                <c:pt idx="15">
                  <c:v>18.25</c:v>
                </c:pt>
                <c:pt idx="16">
                  <c:v>17.600000000000001</c:v>
                </c:pt>
                <c:pt idx="17">
                  <c:v>16.950000000000003</c:v>
                </c:pt>
                <c:pt idx="18">
                  <c:v>16.3</c:v>
                </c:pt>
                <c:pt idx="19">
                  <c:v>15.65</c:v>
                </c:pt>
                <c:pt idx="20">
                  <c:v>15</c:v>
                </c:pt>
                <c:pt idx="21">
                  <c:v>14.350000000000001</c:v>
                </c:pt>
                <c:pt idx="22">
                  <c:v>13.700000000000001</c:v>
                </c:pt>
                <c:pt idx="23">
                  <c:v>13.05</c:v>
                </c:pt>
                <c:pt idx="24">
                  <c:v>12.4</c:v>
                </c:pt>
                <c:pt idx="25">
                  <c:v>11.75</c:v>
                </c:pt>
                <c:pt idx="26">
                  <c:v>11.100000000000001</c:v>
                </c:pt>
                <c:pt idx="27">
                  <c:v>10.45</c:v>
                </c:pt>
                <c:pt idx="28">
                  <c:v>9.8000000000000007</c:v>
                </c:pt>
                <c:pt idx="29">
                  <c:v>9.1500000000000021</c:v>
                </c:pt>
                <c:pt idx="30">
                  <c:v>8.5</c:v>
                </c:pt>
                <c:pt idx="31">
                  <c:v>7.8500000000000014</c:v>
                </c:pt>
                <c:pt idx="32">
                  <c:v>7.1999999999999993</c:v>
                </c:pt>
                <c:pt idx="33">
                  <c:v>6.5500000000000007</c:v>
                </c:pt>
                <c:pt idx="34">
                  <c:v>5.9000000000000021</c:v>
                </c:pt>
                <c:pt idx="35">
                  <c:v>5.25</c:v>
                </c:pt>
                <c:pt idx="36">
                  <c:v>4.6000000000000014</c:v>
                </c:pt>
                <c:pt idx="37">
                  <c:v>3.9500000000000028</c:v>
                </c:pt>
                <c:pt idx="38">
                  <c:v>3.3000000000000007</c:v>
                </c:pt>
                <c:pt idx="39">
                  <c:v>2.6500000000000021</c:v>
                </c:pt>
                <c:pt idx="40">
                  <c:v>2</c:v>
                </c:pt>
                <c:pt idx="41">
                  <c:v>1.3500000000000014</c:v>
                </c:pt>
                <c:pt idx="42">
                  <c:v>0.70000000000000284</c:v>
                </c:pt>
                <c:pt idx="43">
                  <c:v>5.0000000000000711E-2</c:v>
                </c:pt>
                <c:pt idx="44">
                  <c:v>-0.59999999999999787</c:v>
                </c:pt>
                <c:pt idx="45">
                  <c:v>-1.25</c:v>
                </c:pt>
                <c:pt idx="46">
                  <c:v>-1.8999999999999986</c:v>
                </c:pt>
                <c:pt idx="47">
                  <c:v>-2.5499999999999972</c:v>
                </c:pt>
                <c:pt idx="48">
                  <c:v>-3.1999999999999993</c:v>
                </c:pt>
                <c:pt idx="49">
                  <c:v>-3.8499999999999979</c:v>
                </c:pt>
                <c:pt idx="50">
                  <c:v>-4.5</c:v>
                </c:pt>
                <c:pt idx="51">
                  <c:v>-5.1499999999999986</c:v>
                </c:pt>
                <c:pt idx="52">
                  <c:v>-5.7999999999999972</c:v>
                </c:pt>
                <c:pt idx="53">
                  <c:v>-6.4499999999999957</c:v>
                </c:pt>
                <c:pt idx="54">
                  <c:v>-7.1000000000000014</c:v>
                </c:pt>
                <c:pt idx="55">
                  <c:v>-7.75</c:v>
                </c:pt>
                <c:pt idx="56">
                  <c:v>-8.3999999999999986</c:v>
                </c:pt>
                <c:pt idx="57">
                  <c:v>-9.0499999999999972</c:v>
                </c:pt>
                <c:pt idx="58">
                  <c:v>-9.6999999999999957</c:v>
                </c:pt>
                <c:pt idx="59">
                  <c:v>-10.350000000000001</c:v>
                </c:pt>
                <c:pt idx="60">
                  <c:v>-11</c:v>
                </c:pt>
                <c:pt idx="61">
                  <c:v>-11.649999999999999</c:v>
                </c:pt>
                <c:pt idx="62">
                  <c:v>-12.299999999999997</c:v>
                </c:pt>
                <c:pt idx="63">
                  <c:v>-12.949999999999996</c:v>
                </c:pt>
                <c:pt idx="64">
                  <c:v>-13.600000000000001</c:v>
                </c:pt>
                <c:pt idx="65">
                  <c:v>-14.25</c:v>
                </c:pt>
                <c:pt idx="66">
                  <c:v>-14.899999999999999</c:v>
                </c:pt>
                <c:pt idx="67">
                  <c:v>-15.549999999999997</c:v>
                </c:pt>
                <c:pt idx="68">
                  <c:v>-16.199999999999996</c:v>
                </c:pt>
                <c:pt idx="69">
                  <c:v>-16.850000000000001</c:v>
                </c:pt>
                <c:pt idx="70">
                  <c:v>-17.5</c:v>
                </c:pt>
                <c:pt idx="71">
                  <c:v>-18.149999999999999</c:v>
                </c:pt>
                <c:pt idx="72">
                  <c:v>-18.799999999999997</c:v>
                </c:pt>
                <c:pt idx="73">
                  <c:v>-19.449999999999996</c:v>
                </c:pt>
                <c:pt idx="74">
                  <c:v>-20.099999999999994</c:v>
                </c:pt>
                <c:pt idx="75">
                  <c:v>-20.75</c:v>
                </c:pt>
                <c:pt idx="76">
                  <c:v>-21.4</c:v>
                </c:pt>
                <c:pt idx="77">
                  <c:v>-22.049999999999997</c:v>
                </c:pt>
                <c:pt idx="78">
                  <c:v>-22.699999999999996</c:v>
                </c:pt>
                <c:pt idx="79">
                  <c:v>-23.349999999999994</c:v>
                </c:pt>
                <c:pt idx="80">
                  <c:v>-24</c:v>
                </c:pt>
                <c:pt idx="81">
                  <c:v>-24.65</c:v>
                </c:pt>
                <c:pt idx="82">
                  <c:v>-25.299999999999997</c:v>
                </c:pt>
                <c:pt idx="83">
                  <c:v>-25.949999999999996</c:v>
                </c:pt>
                <c:pt idx="84">
                  <c:v>-26.599999999999994</c:v>
                </c:pt>
                <c:pt idx="85">
                  <c:v>-27.25</c:v>
                </c:pt>
                <c:pt idx="86">
                  <c:v>-27.9</c:v>
                </c:pt>
                <c:pt idx="87">
                  <c:v>-28.549999999999997</c:v>
                </c:pt>
                <c:pt idx="88">
                  <c:v>-29.199999999999996</c:v>
                </c:pt>
                <c:pt idx="89">
                  <c:v>-29.849999999999994</c:v>
                </c:pt>
                <c:pt idx="90">
                  <c:v>-30.5</c:v>
                </c:pt>
                <c:pt idx="91">
                  <c:v>-31.15</c:v>
                </c:pt>
                <c:pt idx="92">
                  <c:v>-31.799999999999997</c:v>
                </c:pt>
                <c:pt idx="93">
                  <c:v>-32.449999999999996</c:v>
                </c:pt>
                <c:pt idx="94">
                  <c:v>-33.099999999999994</c:v>
                </c:pt>
                <c:pt idx="95">
                  <c:v>-33.75</c:v>
                </c:pt>
                <c:pt idx="96">
                  <c:v>-34.4</c:v>
                </c:pt>
                <c:pt idx="97">
                  <c:v>-35.049999999999997</c:v>
                </c:pt>
                <c:pt idx="98">
                  <c:v>-35.699999999999996</c:v>
                </c:pt>
                <c:pt idx="99">
                  <c:v>-36.349999999999994</c:v>
                </c:pt>
                <c:pt idx="100">
                  <c:v>-37</c:v>
                </c:pt>
                <c:pt idx="101">
                  <c:v>-37.649999999999991</c:v>
                </c:pt>
                <c:pt idx="102">
                  <c:v>-38.299999999999997</c:v>
                </c:pt>
                <c:pt idx="103">
                  <c:v>-38.950000000000003</c:v>
                </c:pt>
                <c:pt idx="104">
                  <c:v>-39.599999999999994</c:v>
                </c:pt>
                <c:pt idx="105">
                  <c:v>-40.25</c:v>
                </c:pt>
                <c:pt idx="106">
                  <c:v>-40.899999999999991</c:v>
                </c:pt>
                <c:pt idx="107">
                  <c:v>-41.55</c:v>
                </c:pt>
                <c:pt idx="108">
                  <c:v>-42.2</c:v>
                </c:pt>
                <c:pt idx="109">
                  <c:v>-42.849999999999994</c:v>
                </c:pt>
                <c:pt idx="110">
                  <c:v>-43.5</c:v>
                </c:pt>
              </c:numCache>
            </c:numRef>
          </c:xVal>
          <c:yVal>
            <c:numRef>
              <c:f>'Daten Auswertung'!$BS$28:$BS$159</c:f>
              <c:numCache>
                <c:formatCode>General</c:formatCode>
                <c:ptCount val="132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</c:numCache>
            </c:numRef>
          </c:yVal>
          <c:smooth val="0"/>
        </c:ser>
        <c:ser>
          <c:idx val="3"/>
          <c:order val="3"/>
          <c:tx>
            <c:v>LUFTDRUCK</c:v>
          </c:tx>
          <c:marker>
            <c:symbol val="none"/>
          </c:marker>
          <c:xVal>
            <c:numRef>
              <c:f>'Daten Auswertung'!$AV$28:$AV$159</c:f>
              <c:numCache>
                <c:formatCode>0</c:formatCode>
                <c:ptCount val="132"/>
                <c:pt idx="0">
                  <c:v>1010</c:v>
                </c:pt>
                <c:pt idx="1">
                  <c:v>1009</c:v>
                </c:pt>
                <c:pt idx="2">
                  <c:v>1000</c:v>
                </c:pt>
                <c:pt idx="3">
                  <c:v>972</c:v>
                </c:pt>
                <c:pt idx="4">
                  <c:v>959</c:v>
                </c:pt>
                <c:pt idx="5">
                  <c:v>937</c:v>
                </c:pt>
                <c:pt idx="6">
                  <c:v>925</c:v>
                </c:pt>
                <c:pt idx="7">
                  <c:v>913</c:v>
                </c:pt>
                <c:pt idx="8">
                  <c:v>900</c:v>
                </c:pt>
                <c:pt idx="9">
                  <c:v>883</c:v>
                </c:pt>
                <c:pt idx="10">
                  <c:v>850</c:v>
                </c:pt>
                <c:pt idx="11">
                  <c:v>848</c:v>
                </c:pt>
                <c:pt idx="12">
                  <c:v>839</c:v>
                </c:pt>
                <c:pt idx="13">
                  <c:v>830</c:v>
                </c:pt>
                <c:pt idx="14">
                  <c:v>829</c:v>
                </c:pt>
                <c:pt idx="15">
                  <c:v>800</c:v>
                </c:pt>
                <c:pt idx="16">
                  <c:v>796</c:v>
                </c:pt>
                <c:pt idx="17">
                  <c:v>700</c:v>
                </c:pt>
                <c:pt idx="18">
                  <c:v>657</c:v>
                </c:pt>
                <c:pt idx="19">
                  <c:v>605</c:v>
                </c:pt>
                <c:pt idx="20">
                  <c:v>582</c:v>
                </c:pt>
                <c:pt idx="21">
                  <c:v>568</c:v>
                </c:pt>
                <c:pt idx="22">
                  <c:v>560</c:v>
                </c:pt>
                <c:pt idx="23">
                  <c:v>558</c:v>
                </c:pt>
                <c:pt idx="24">
                  <c:v>528</c:v>
                </c:pt>
                <c:pt idx="25">
                  <c:v>521</c:v>
                </c:pt>
                <c:pt idx="26">
                  <c:v>511</c:v>
                </c:pt>
                <c:pt idx="27">
                  <c:v>501</c:v>
                </c:pt>
                <c:pt idx="28">
                  <c:v>500</c:v>
                </c:pt>
                <c:pt idx="29">
                  <c:v>485</c:v>
                </c:pt>
                <c:pt idx="30">
                  <c:v>433</c:v>
                </c:pt>
                <c:pt idx="31">
                  <c:v>409</c:v>
                </c:pt>
                <c:pt idx="32">
                  <c:v>400</c:v>
                </c:pt>
                <c:pt idx="33">
                  <c:v>377</c:v>
                </c:pt>
                <c:pt idx="34">
                  <c:v>355</c:v>
                </c:pt>
                <c:pt idx="35">
                  <c:v>329</c:v>
                </c:pt>
                <c:pt idx="36">
                  <c:v>302</c:v>
                </c:pt>
                <c:pt idx="37">
                  <c:v>300</c:v>
                </c:pt>
                <c:pt idx="38">
                  <c:v>278</c:v>
                </c:pt>
                <c:pt idx="39">
                  <c:v>254</c:v>
                </c:pt>
                <c:pt idx="40">
                  <c:v>250</c:v>
                </c:pt>
                <c:pt idx="41">
                  <c:v>249</c:v>
                </c:pt>
                <c:pt idx="42">
                  <c:v>243</c:v>
                </c:pt>
                <c:pt idx="43">
                  <c:v>242</c:v>
                </c:pt>
                <c:pt idx="44">
                  <c:v>217</c:v>
                </c:pt>
                <c:pt idx="45">
                  <c:v>215</c:v>
                </c:pt>
                <c:pt idx="46">
                  <c:v>209</c:v>
                </c:pt>
                <c:pt idx="47">
                  <c:v>200</c:v>
                </c:pt>
                <c:pt idx="48">
                  <c:v>196</c:v>
                </c:pt>
                <c:pt idx="49">
                  <c:v>185</c:v>
                </c:pt>
                <c:pt idx="50">
                  <c:v>184</c:v>
                </c:pt>
                <c:pt idx="51">
                  <c:v>180</c:v>
                </c:pt>
                <c:pt idx="52">
                  <c:v>164</c:v>
                </c:pt>
                <c:pt idx="53">
                  <c:v>150</c:v>
                </c:pt>
                <c:pt idx="54">
                  <c:v>137</c:v>
                </c:pt>
                <c:pt idx="55">
                  <c:v>130</c:v>
                </c:pt>
                <c:pt idx="56">
                  <c:v>123</c:v>
                </c:pt>
                <c:pt idx="57">
                  <c:v>112</c:v>
                </c:pt>
                <c:pt idx="58">
                  <c:v>110</c:v>
                </c:pt>
                <c:pt idx="59">
                  <c:v>104</c:v>
                </c:pt>
                <c:pt idx="60">
                  <c:v>103</c:v>
                </c:pt>
                <c:pt idx="61">
                  <c:v>100</c:v>
                </c:pt>
                <c:pt idx="62">
                  <c:v>97</c:v>
                </c:pt>
                <c:pt idx="63">
                  <c:v>94</c:v>
                </c:pt>
                <c:pt idx="64">
                  <c:v>82</c:v>
                </c:pt>
                <c:pt idx="65">
                  <c:v>73.3</c:v>
                </c:pt>
                <c:pt idx="66">
                  <c:v>70</c:v>
                </c:pt>
                <c:pt idx="67">
                  <c:v>69</c:v>
                </c:pt>
                <c:pt idx="68">
                  <c:v>66.8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60.1</c:v>
                </c:pt>
                <c:pt idx="73">
                  <c:v>58.6</c:v>
                </c:pt>
                <c:pt idx="74">
                  <c:v>58</c:v>
                </c:pt>
                <c:pt idx="75">
                  <c:v>56.4</c:v>
                </c:pt>
                <c:pt idx="76">
                  <c:v>56</c:v>
                </c:pt>
                <c:pt idx="77">
                  <c:v>55</c:v>
                </c:pt>
                <c:pt idx="78">
                  <c:v>53</c:v>
                </c:pt>
                <c:pt idx="79">
                  <c:v>51</c:v>
                </c:pt>
                <c:pt idx="80">
                  <c:v>50</c:v>
                </c:pt>
                <c:pt idx="81">
                  <c:v>47</c:v>
                </c:pt>
                <c:pt idx="82">
                  <c:v>44</c:v>
                </c:pt>
                <c:pt idx="83">
                  <c:v>42.6</c:v>
                </c:pt>
                <c:pt idx="84">
                  <c:v>37</c:v>
                </c:pt>
                <c:pt idx="85">
                  <c:v>33</c:v>
                </c:pt>
                <c:pt idx="86">
                  <c:v>31.6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26.5</c:v>
                </c:pt>
                <c:pt idx="91">
                  <c:v>26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18.600000000000001</c:v>
                </c:pt>
                <c:pt idx="98">
                  <c:v>17.600000000000001</c:v>
                </c:pt>
                <c:pt idx="99">
                  <c:v>17</c:v>
                </c:pt>
                <c:pt idx="100">
                  <c:v>16</c:v>
                </c:pt>
                <c:pt idx="101">
                  <c:v>15.6</c:v>
                </c:pt>
                <c:pt idx="102">
                  <c:v>15</c:v>
                </c:pt>
                <c:pt idx="103">
                  <c:v>14</c:v>
                </c:pt>
                <c:pt idx="104">
                  <c:v>13.4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Auswertung'!$AR$28:$AR$159</c:f>
              <c:numCache>
                <c:formatCode>0.0</c:formatCode>
                <c:ptCount val="132"/>
                <c:pt idx="0">
                  <c:v>28.2</c:v>
                </c:pt>
                <c:pt idx="1">
                  <c:v>28.1</c:v>
                </c:pt>
                <c:pt idx="2">
                  <c:v>27.2</c:v>
                </c:pt>
                <c:pt idx="3">
                  <c:v>24.5</c:v>
                </c:pt>
                <c:pt idx="4">
                  <c:v>23.2</c:v>
                </c:pt>
                <c:pt idx="5">
                  <c:v>21.9</c:v>
                </c:pt>
                <c:pt idx="6">
                  <c:v>21.2</c:v>
                </c:pt>
                <c:pt idx="7">
                  <c:v>20.399999999999999</c:v>
                </c:pt>
                <c:pt idx="8">
                  <c:v>19.600000000000001</c:v>
                </c:pt>
                <c:pt idx="9">
                  <c:v>18.899999999999999</c:v>
                </c:pt>
                <c:pt idx="10">
                  <c:v>17.399999999999999</c:v>
                </c:pt>
                <c:pt idx="11">
                  <c:v>17.399999999999999</c:v>
                </c:pt>
                <c:pt idx="12">
                  <c:v>17.2</c:v>
                </c:pt>
                <c:pt idx="13">
                  <c:v>18</c:v>
                </c:pt>
                <c:pt idx="14">
                  <c:v>17.899999999999999</c:v>
                </c:pt>
                <c:pt idx="15">
                  <c:v>16.2</c:v>
                </c:pt>
                <c:pt idx="16">
                  <c:v>15.9</c:v>
                </c:pt>
                <c:pt idx="17">
                  <c:v>9.4</c:v>
                </c:pt>
                <c:pt idx="18">
                  <c:v>6</c:v>
                </c:pt>
                <c:pt idx="19">
                  <c:v>2.5</c:v>
                </c:pt>
                <c:pt idx="20">
                  <c:v>0.8</c:v>
                </c:pt>
                <c:pt idx="21">
                  <c:v>0.1</c:v>
                </c:pt>
                <c:pt idx="22">
                  <c:v>-0.4</c:v>
                </c:pt>
                <c:pt idx="23">
                  <c:v>-0.5</c:v>
                </c:pt>
                <c:pt idx="24">
                  <c:v>-4.2</c:v>
                </c:pt>
                <c:pt idx="25">
                  <c:v>-5.0999999999999996</c:v>
                </c:pt>
                <c:pt idx="26">
                  <c:v>-5.8</c:v>
                </c:pt>
                <c:pt idx="27">
                  <c:v>-6.6</c:v>
                </c:pt>
                <c:pt idx="28">
                  <c:v>-6.7</c:v>
                </c:pt>
                <c:pt idx="29">
                  <c:v>-7.3</c:v>
                </c:pt>
                <c:pt idx="30">
                  <c:v>-11.9</c:v>
                </c:pt>
                <c:pt idx="31">
                  <c:v>-13.8</c:v>
                </c:pt>
                <c:pt idx="32">
                  <c:v>-14.5</c:v>
                </c:pt>
                <c:pt idx="33">
                  <c:v>-17.100000000000001</c:v>
                </c:pt>
                <c:pt idx="34">
                  <c:v>-19.7</c:v>
                </c:pt>
                <c:pt idx="35">
                  <c:v>-24.1</c:v>
                </c:pt>
                <c:pt idx="36">
                  <c:v>-29.1</c:v>
                </c:pt>
                <c:pt idx="37">
                  <c:v>-29.5</c:v>
                </c:pt>
                <c:pt idx="38">
                  <c:v>-34.4</c:v>
                </c:pt>
                <c:pt idx="39">
                  <c:v>-40.299999999999997</c:v>
                </c:pt>
                <c:pt idx="40">
                  <c:v>-41.3</c:v>
                </c:pt>
                <c:pt idx="41">
                  <c:v>-41.5</c:v>
                </c:pt>
                <c:pt idx="42">
                  <c:v>-43</c:v>
                </c:pt>
                <c:pt idx="43">
                  <c:v>-43.3</c:v>
                </c:pt>
                <c:pt idx="44">
                  <c:v>-48.5</c:v>
                </c:pt>
                <c:pt idx="45">
                  <c:v>-49.3</c:v>
                </c:pt>
                <c:pt idx="46">
                  <c:v>-51.1</c:v>
                </c:pt>
                <c:pt idx="47">
                  <c:v>-53.5</c:v>
                </c:pt>
                <c:pt idx="48">
                  <c:v>-54.7</c:v>
                </c:pt>
                <c:pt idx="49">
                  <c:v>-57.1</c:v>
                </c:pt>
                <c:pt idx="50">
                  <c:v>-57.1</c:v>
                </c:pt>
                <c:pt idx="51">
                  <c:v>-57.3</c:v>
                </c:pt>
                <c:pt idx="52">
                  <c:v>-62.1</c:v>
                </c:pt>
                <c:pt idx="53">
                  <c:v>-66.7</c:v>
                </c:pt>
                <c:pt idx="54">
                  <c:v>-71.599999999999994</c:v>
                </c:pt>
                <c:pt idx="55">
                  <c:v>-74.5</c:v>
                </c:pt>
                <c:pt idx="56">
                  <c:v>-75.5</c:v>
                </c:pt>
                <c:pt idx="57">
                  <c:v>-77.099999999999994</c:v>
                </c:pt>
                <c:pt idx="58">
                  <c:v>-77.400000000000006</c:v>
                </c:pt>
                <c:pt idx="59">
                  <c:v>-78.3</c:v>
                </c:pt>
                <c:pt idx="60">
                  <c:v>-78.5</c:v>
                </c:pt>
                <c:pt idx="61">
                  <c:v>-77.900000000000006</c:v>
                </c:pt>
                <c:pt idx="62">
                  <c:v>-78.3</c:v>
                </c:pt>
                <c:pt idx="63">
                  <c:v>-78.7</c:v>
                </c:pt>
                <c:pt idx="64">
                  <c:v>-80.3</c:v>
                </c:pt>
                <c:pt idx="65">
                  <c:v>-81.7</c:v>
                </c:pt>
                <c:pt idx="66">
                  <c:v>-78.900000000000006</c:v>
                </c:pt>
                <c:pt idx="67">
                  <c:v>-77.2</c:v>
                </c:pt>
                <c:pt idx="68">
                  <c:v>-73.5</c:v>
                </c:pt>
                <c:pt idx="69">
                  <c:v>-72.099999999999994</c:v>
                </c:pt>
                <c:pt idx="70">
                  <c:v>-71.7</c:v>
                </c:pt>
                <c:pt idx="71">
                  <c:v>-71.3</c:v>
                </c:pt>
                <c:pt idx="72">
                  <c:v>-70.900000000000006</c:v>
                </c:pt>
                <c:pt idx="73">
                  <c:v>-65.900000000000006</c:v>
                </c:pt>
                <c:pt idx="74">
                  <c:v>-66.2</c:v>
                </c:pt>
                <c:pt idx="75">
                  <c:v>-67.099999999999994</c:v>
                </c:pt>
                <c:pt idx="76">
                  <c:v>-67</c:v>
                </c:pt>
                <c:pt idx="77">
                  <c:v>-66.8</c:v>
                </c:pt>
                <c:pt idx="78">
                  <c:v>-66.5</c:v>
                </c:pt>
                <c:pt idx="79">
                  <c:v>-66.099999999999994</c:v>
                </c:pt>
                <c:pt idx="80">
                  <c:v>-65.900000000000006</c:v>
                </c:pt>
                <c:pt idx="81">
                  <c:v>-64.8</c:v>
                </c:pt>
                <c:pt idx="82">
                  <c:v>-63.7</c:v>
                </c:pt>
                <c:pt idx="83">
                  <c:v>-63.1</c:v>
                </c:pt>
                <c:pt idx="84">
                  <c:v>-64.599999999999994</c:v>
                </c:pt>
                <c:pt idx="85">
                  <c:v>-65.8</c:v>
                </c:pt>
                <c:pt idx="86">
                  <c:v>-66.3</c:v>
                </c:pt>
                <c:pt idx="87">
                  <c:v>-65.599999999999994</c:v>
                </c:pt>
                <c:pt idx="88">
                  <c:v>-64.5</c:v>
                </c:pt>
                <c:pt idx="89">
                  <c:v>-62.8</c:v>
                </c:pt>
                <c:pt idx="90">
                  <c:v>-61.5</c:v>
                </c:pt>
                <c:pt idx="91">
                  <c:v>-61.6</c:v>
                </c:pt>
                <c:pt idx="92">
                  <c:v>-62</c:v>
                </c:pt>
                <c:pt idx="93">
                  <c:v>-62.6</c:v>
                </c:pt>
                <c:pt idx="94">
                  <c:v>-63</c:v>
                </c:pt>
                <c:pt idx="95">
                  <c:v>-63.7</c:v>
                </c:pt>
                <c:pt idx="96">
                  <c:v>-65</c:v>
                </c:pt>
                <c:pt idx="97">
                  <c:v>-65.5</c:v>
                </c:pt>
                <c:pt idx="98">
                  <c:v>-64.099999999999994</c:v>
                </c:pt>
                <c:pt idx="99">
                  <c:v>-61.3</c:v>
                </c:pt>
                <c:pt idx="100">
                  <c:v>-56.4</c:v>
                </c:pt>
                <c:pt idx="101">
                  <c:v>-54.3</c:v>
                </c:pt>
                <c:pt idx="102">
                  <c:v>-55.1</c:v>
                </c:pt>
                <c:pt idx="103">
                  <c:v>-56.4</c:v>
                </c:pt>
                <c:pt idx="104">
                  <c:v>-57.3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64256"/>
        <c:axId val="87266048"/>
      </c:scatterChart>
      <c:valAx>
        <c:axId val="87264256"/>
        <c:scaling>
          <c:orientation val="minMax"/>
          <c:max val="50"/>
          <c:min val="-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87266048"/>
        <c:crosses val="autoZero"/>
        <c:crossBetween val="midCat"/>
        <c:majorUnit val="5"/>
      </c:valAx>
      <c:valAx>
        <c:axId val="87266048"/>
        <c:scaling>
          <c:orientation val="minMax"/>
          <c:max val="1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de-DE" sz="1400" b="0"/>
                  <a:t>Höhe über NN (m)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87264256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Temperatur / Taupunkt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ln>
                <a:noFill/>
              </a:ln>
            </c:spPr>
          </c:marker>
          <c:xVal>
            <c:numRef>
              <c:f>'Daten Auswertung'!$AP$28:$AP$159</c:f>
              <c:numCache>
                <c:formatCode>0.0</c:formatCode>
                <c:ptCount val="132"/>
                <c:pt idx="0">
                  <c:v>25</c:v>
                </c:pt>
                <c:pt idx="1">
                  <c:v>24.9</c:v>
                </c:pt>
                <c:pt idx="2">
                  <c:v>24.4</c:v>
                </c:pt>
                <c:pt idx="3">
                  <c:v>23.4</c:v>
                </c:pt>
                <c:pt idx="4">
                  <c:v>23</c:v>
                </c:pt>
                <c:pt idx="5">
                  <c:v>21.3</c:v>
                </c:pt>
                <c:pt idx="6">
                  <c:v>20.399999999999999</c:v>
                </c:pt>
                <c:pt idx="7">
                  <c:v>19.8</c:v>
                </c:pt>
                <c:pt idx="8">
                  <c:v>19.2</c:v>
                </c:pt>
                <c:pt idx="9">
                  <c:v>17.8</c:v>
                </c:pt>
                <c:pt idx="10">
                  <c:v>15.1</c:v>
                </c:pt>
                <c:pt idx="11">
                  <c:v>15.2</c:v>
                </c:pt>
                <c:pt idx="12">
                  <c:v>13.3</c:v>
                </c:pt>
                <c:pt idx="13">
                  <c:v>7</c:v>
                </c:pt>
                <c:pt idx="14">
                  <c:v>6.8</c:v>
                </c:pt>
                <c:pt idx="15">
                  <c:v>2.2000000000000002</c:v>
                </c:pt>
                <c:pt idx="16">
                  <c:v>1.8</c:v>
                </c:pt>
                <c:pt idx="17">
                  <c:v>-8.6</c:v>
                </c:pt>
                <c:pt idx="18">
                  <c:v>-9</c:v>
                </c:pt>
                <c:pt idx="19">
                  <c:v>-20.7</c:v>
                </c:pt>
                <c:pt idx="20">
                  <c:v>-26.2</c:v>
                </c:pt>
                <c:pt idx="21">
                  <c:v>-22.9</c:v>
                </c:pt>
                <c:pt idx="22">
                  <c:v>-21</c:v>
                </c:pt>
                <c:pt idx="23">
                  <c:v>-20.5</c:v>
                </c:pt>
                <c:pt idx="24">
                  <c:v>-14.5</c:v>
                </c:pt>
                <c:pt idx="25">
                  <c:v>-13.1</c:v>
                </c:pt>
                <c:pt idx="26">
                  <c:v>-18.100000000000001</c:v>
                </c:pt>
                <c:pt idx="27">
                  <c:v>-23.2</c:v>
                </c:pt>
                <c:pt idx="28">
                  <c:v>-23.7</c:v>
                </c:pt>
                <c:pt idx="29">
                  <c:v>-28.3</c:v>
                </c:pt>
                <c:pt idx="30">
                  <c:v>-35.9</c:v>
                </c:pt>
                <c:pt idx="31">
                  <c:v>-43.5</c:v>
                </c:pt>
                <c:pt idx="32">
                  <c:v>-46.5</c:v>
                </c:pt>
                <c:pt idx="33">
                  <c:v>-50.1</c:v>
                </c:pt>
                <c:pt idx="34">
                  <c:v>-53.7</c:v>
                </c:pt>
                <c:pt idx="35">
                  <c:v>-55.3</c:v>
                </c:pt>
                <c:pt idx="36">
                  <c:v>-57.1</c:v>
                </c:pt>
                <c:pt idx="37">
                  <c:v>-55.5</c:v>
                </c:pt>
                <c:pt idx="38">
                  <c:v>-51.2</c:v>
                </c:pt>
                <c:pt idx="39">
                  <c:v>-46.1</c:v>
                </c:pt>
                <c:pt idx="40">
                  <c:v>-45.2</c:v>
                </c:pt>
                <c:pt idx="41">
                  <c:v>-45.4</c:v>
                </c:pt>
                <c:pt idx="42">
                  <c:v>-46.5</c:v>
                </c:pt>
                <c:pt idx="43">
                  <c:v>-46.7</c:v>
                </c:pt>
                <c:pt idx="44">
                  <c:v>-59.5</c:v>
                </c:pt>
                <c:pt idx="45">
                  <c:v>-54.3</c:v>
                </c:pt>
                <c:pt idx="46">
                  <c:v>-55.6</c:v>
                </c:pt>
                <c:pt idx="47">
                  <c:v>-56.9</c:v>
                </c:pt>
                <c:pt idx="48">
                  <c:v>-57.2</c:v>
                </c:pt>
                <c:pt idx="49">
                  <c:v>-68.099999999999994</c:v>
                </c:pt>
                <c:pt idx="50">
                  <c:v>-69.099999999999994</c:v>
                </c:pt>
                <c:pt idx="51">
                  <c:v>-73.3</c:v>
                </c:pt>
                <c:pt idx="52">
                  <c:v>-74</c:v>
                </c:pt>
                <c:pt idx="53">
                  <c:v>-74.7</c:v>
                </c:pt>
                <c:pt idx="54">
                  <c:v>-77.2</c:v>
                </c:pt>
                <c:pt idx="55">
                  <c:v>-78.7</c:v>
                </c:pt>
                <c:pt idx="56">
                  <c:v>-81.8</c:v>
                </c:pt>
                <c:pt idx="57">
                  <c:v>-87.1</c:v>
                </c:pt>
                <c:pt idx="58">
                  <c:v>-87</c:v>
                </c:pt>
                <c:pt idx="59">
                  <c:v>-86.6</c:v>
                </c:pt>
                <c:pt idx="60">
                  <c:v>-86.5</c:v>
                </c:pt>
                <c:pt idx="61">
                  <c:v>-86.9</c:v>
                </c:pt>
                <c:pt idx="62">
                  <c:v>-87.1</c:v>
                </c:pt>
                <c:pt idx="63">
                  <c:v>-87.3</c:v>
                </c:pt>
                <c:pt idx="64">
                  <c:v>-88</c:v>
                </c:pt>
                <c:pt idx="65">
                  <c:v>-88.7</c:v>
                </c:pt>
                <c:pt idx="66">
                  <c:v>-88.9</c:v>
                </c:pt>
                <c:pt idx="67">
                  <c:v>-89.4</c:v>
                </c:pt>
                <c:pt idx="68">
                  <c:v>-90.5</c:v>
                </c:pt>
                <c:pt idx="69">
                  <c:v>-91.8</c:v>
                </c:pt>
                <c:pt idx="70">
                  <c:v>-92.2</c:v>
                </c:pt>
                <c:pt idx="71">
                  <c:v>-92.6</c:v>
                </c:pt>
                <c:pt idx="72">
                  <c:v>-92.9</c:v>
                </c:pt>
                <c:pt idx="73">
                  <c:v>-93.9</c:v>
                </c:pt>
                <c:pt idx="74">
                  <c:v>-93.7</c:v>
                </c:pt>
                <c:pt idx="75">
                  <c:v>-93.1</c:v>
                </c:pt>
                <c:pt idx="76">
                  <c:v>-93</c:v>
                </c:pt>
                <c:pt idx="77">
                  <c:v>-92.8</c:v>
                </c:pt>
                <c:pt idx="78">
                  <c:v>-92.5</c:v>
                </c:pt>
                <c:pt idx="79">
                  <c:v>-92.1</c:v>
                </c:pt>
                <c:pt idx="80">
                  <c:v>-91.9</c:v>
                </c:pt>
                <c:pt idx="81">
                  <c:v>-92</c:v>
                </c:pt>
                <c:pt idx="82">
                  <c:v>-92.1</c:v>
                </c:pt>
                <c:pt idx="83">
                  <c:v>-92.1</c:v>
                </c:pt>
                <c:pt idx="84">
                  <c:v>-92.7</c:v>
                </c:pt>
                <c:pt idx="85">
                  <c:v>-93.1</c:v>
                </c:pt>
                <c:pt idx="86">
                  <c:v>-93.3</c:v>
                </c:pt>
                <c:pt idx="87">
                  <c:v>-93.4</c:v>
                </c:pt>
                <c:pt idx="88">
                  <c:v>-93.5</c:v>
                </c:pt>
                <c:pt idx="89">
                  <c:v>-92.9</c:v>
                </c:pt>
                <c:pt idx="90">
                  <c:v>-92.5</c:v>
                </c:pt>
                <c:pt idx="91">
                  <c:v>-92.5</c:v>
                </c:pt>
                <c:pt idx="92">
                  <c:v>-92.5</c:v>
                </c:pt>
                <c:pt idx="93">
                  <c:v>-92.6</c:v>
                </c:pt>
                <c:pt idx="94">
                  <c:v>-92.6</c:v>
                </c:pt>
                <c:pt idx="95">
                  <c:v>-92.7</c:v>
                </c:pt>
                <c:pt idx="96">
                  <c:v>-93.3</c:v>
                </c:pt>
                <c:pt idx="97">
                  <c:v>-93.5</c:v>
                </c:pt>
                <c:pt idx="98">
                  <c:v>-94.1</c:v>
                </c:pt>
                <c:pt idx="99">
                  <c:v>-93</c:v>
                </c:pt>
                <c:pt idx="100">
                  <c:v>-91.1</c:v>
                </c:pt>
                <c:pt idx="101">
                  <c:v>-90.3</c:v>
                </c:pt>
                <c:pt idx="102">
                  <c:v>-90.3</c:v>
                </c:pt>
                <c:pt idx="103">
                  <c:v>-90.3</c:v>
                </c:pt>
                <c:pt idx="104">
                  <c:v>-90.3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Auswertung'!$AQ$28:$AQ$159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marker>
            <c:symbol val="square"/>
            <c:size val="5"/>
            <c:spPr>
              <a:ln>
                <a:noFill/>
              </a:ln>
            </c:spPr>
          </c:marker>
          <c:xVal>
            <c:numRef>
              <c:f>'Daten Auswertung'!$AR$28:$AR$159</c:f>
              <c:numCache>
                <c:formatCode>0.0</c:formatCode>
                <c:ptCount val="132"/>
                <c:pt idx="0">
                  <c:v>28.2</c:v>
                </c:pt>
                <c:pt idx="1">
                  <c:v>28.1</c:v>
                </c:pt>
                <c:pt idx="2">
                  <c:v>27.2</c:v>
                </c:pt>
                <c:pt idx="3">
                  <c:v>24.5</c:v>
                </c:pt>
                <c:pt idx="4">
                  <c:v>23.2</c:v>
                </c:pt>
                <c:pt idx="5">
                  <c:v>21.9</c:v>
                </c:pt>
                <c:pt idx="6">
                  <c:v>21.2</c:v>
                </c:pt>
                <c:pt idx="7">
                  <c:v>20.399999999999999</c:v>
                </c:pt>
                <c:pt idx="8">
                  <c:v>19.600000000000001</c:v>
                </c:pt>
                <c:pt idx="9">
                  <c:v>18.899999999999999</c:v>
                </c:pt>
                <c:pt idx="10">
                  <c:v>17.399999999999999</c:v>
                </c:pt>
                <c:pt idx="11">
                  <c:v>17.399999999999999</c:v>
                </c:pt>
                <c:pt idx="12">
                  <c:v>17.2</c:v>
                </c:pt>
                <c:pt idx="13">
                  <c:v>18</c:v>
                </c:pt>
                <c:pt idx="14">
                  <c:v>17.899999999999999</c:v>
                </c:pt>
                <c:pt idx="15">
                  <c:v>16.2</c:v>
                </c:pt>
                <c:pt idx="16">
                  <c:v>15.9</c:v>
                </c:pt>
                <c:pt idx="17">
                  <c:v>9.4</c:v>
                </c:pt>
                <c:pt idx="18">
                  <c:v>6</c:v>
                </c:pt>
                <c:pt idx="19">
                  <c:v>2.5</c:v>
                </c:pt>
                <c:pt idx="20">
                  <c:v>0.8</c:v>
                </c:pt>
                <c:pt idx="21">
                  <c:v>0.1</c:v>
                </c:pt>
                <c:pt idx="22">
                  <c:v>-0.4</c:v>
                </c:pt>
                <c:pt idx="23">
                  <c:v>-0.5</c:v>
                </c:pt>
                <c:pt idx="24">
                  <c:v>-4.2</c:v>
                </c:pt>
                <c:pt idx="25">
                  <c:v>-5.0999999999999996</c:v>
                </c:pt>
                <c:pt idx="26">
                  <c:v>-5.8</c:v>
                </c:pt>
                <c:pt idx="27">
                  <c:v>-6.6</c:v>
                </c:pt>
                <c:pt idx="28">
                  <c:v>-6.7</c:v>
                </c:pt>
                <c:pt idx="29">
                  <c:v>-7.3</c:v>
                </c:pt>
                <c:pt idx="30">
                  <c:v>-11.9</c:v>
                </c:pt>
                <c:pt idx="31">
                  <c:v>-13.8</c:v>
                </c:pt>
                <c:pt idx="32">
                  <c:v>-14.5</c:v>
                </c:pt>
                <c:pt idx="33">
                  <c:v>-17.100000000000001</c:v>
                </c:pt>
                <c:pt idx="34">
                  <c:v>-19.7</c:v>
                </c:pt>
                <c:pt idx="35">
                  <c:v>-24.1</c:v>
                </c:pt>
                <c:pt idx="36">
                  <c:v>-29.1</c:v>
                </c:pt>
                <c:pt idx="37">
                  <c:v>-29.5</c:v>
                </c:pt>
                <c:pt idx="38">
                  <c:v>-34.4</c:v>
                </c:pt>
                <c:pt idx="39">
                  <c:v>-40.299999999999997</c:v>
                </c:pt>
                <c:pt idx="40">
                  <c:v>-41.3</c:v>
                </c:pt>
                <c:pt idx="41">
                  <c:v>-41.5</c:v>
                </c:pt>
                <c:pt idx="42">
                  <c:v>-43</c:v>
                </c:pt>
                <c:pt idx="43">
                  <c:v>-43.3</c:v>
                </c:pt>
                <c:pt idx="44">
                  <c:v>-48.5</c:v>
                </c:pt>
                <c:pt idx="45">
                  <c:v>-49.3</c:v>
                </c:pt>
                <c:pt idx="46">
                  <c:v>-51.1</c:v>
                </c:pt>
                <c:pt idx="47">
                  <c:v>-53.5</c:v>
                </c:pt>
                <c:pt idx="48">
                  <c:v>-54.7</c:v>
                </c:pt>
                <c:pt idx="49">
                  <c:v>-57.1</c:v>
                </c:pt>
                <c:pt idx="50">
                  <c:v>-57.1</c:v>
                </c:pt>
                <c:pt idx="51">
                  <c:v>-57.3</c:v>
                </c:pt>
                <c:pt idx="52">
                  <c:v>-62.1</c:v>
                </c:pt>
                <c:pt idx="53">
                  <c:v>-66.7</c:v>
                </c:pt>
                <c:pt idx="54">
                  <c:v>-71.599999999999994</c:v>
                </c:pt>
                <c:pt idx="55">
                  <c:v>-74.5</c:v>
                </c:pt>
                <c:pt idx="56">
                  <c:v>-75.5</c:v>
                </c:pt>
                <c:pt idx="57">
                  <c:v>-77.099999999999994</c:v>
                </c:pt>
                <c:pt idx="58">
                  <c:v>-77.400000000000006</c:v>
                </c:pt>
                <c:pt idx="59">
                  <c:v>-78.3</c:v>
                </c:pt>
                <c:pt idx="60">
                  <c:v>-78.5</c:v>
                </c:pt>
                <c:pt idx="61">
                  <c:v>-77.900000000000006</c:v>
                </c:pt>
                <c:pt idx="62">
                  <c:v>-78.3</c:v>
                </c:pt>
                <c:pt idx="63">
                  <c:v>-78.7</c:v>
                </c:pt>
                <c:pt idx="64">
                  <c:v>-80.3</c:v>
                </c:pt>
                <c:pt idx="65">
                  <c:v>-81.7</c:v>
                </c:pt>
                <c:pt idx="66">
                  <c:v>-78.900000000000006</c:v>
                </c:pt>
                <c:pt idx="67">
                  <c:v>-77.2</c:v>
                </c:pt>
                <c:pt idx="68">
                  <c:v>-73.5</c:v>
                </c:pt>
                <c:pt idx="69">
                  <c:v>-72.099999999999994</c:v>
                </c:pt>
                <c:pt idx="70">
                  <c:v>-71.7</c:v>
                </c:pt>
                <c:pt idx="71">
                  <c:v>-71.3</c:v>
                </c:pt>
                <c:pt idx="72">
                  <c:v>-70.900000000000006</c:v>
                </c:pt>
                <c:pt idx="73">
                  <c:v>-65.900000000000006</c:v>
                </c:pt>
                <c:pt idx="74">
                  <c:v>-66.2</c:v>
                </c:pt>
                <c:pt idx="75">
                  <c:v>-67.099999999999994</c:v>
                </c:pt>
                <c:pt idx="76">
                  <c:v>-67</c:v>
                </c:pt>
                <c:pt idx="77">
                  <c:v>-66.8</c:v>
                </c:pt>
                <c:pt idx="78">
                  <c:v>-66.5</c:v>
                </c:pt>
                <c:pt idx="79">
                  <c:v>-66.099999999999994</c:v>
                </c:pt>
                <c:pt idx="80">
                  <c:v>-65.900000000000006</c:v>
                </c:pt>
                <c:pt idx="81">
                  <c:v>-64.8</c:v>
                </c:pt>
                <c:pt idx="82">
                  <c:v>-63.7</c:v>
                </c:pt>
                <c:pt idx="83">
                  <c:v>-63.1</c:v>
                </c:pt>
                <c:pt idx="84">
                  <c:v>-64.599999999999994</c:v>
                </c:pt>
                <c:pt idx="85">
                  <c:v>-65.8</c:v>
                </c:pt>
                <c:pt idx="86">
                  <c:v>-66.3</c:v>
                </c:pt>
                <c:pt idx="87">
                  <c:v>-65.599999999999994</c:v>
                </c:pt>
                <c:pt idx="88">
                  <c:v>-64.5</c:v>
                </c:pt>
                <c:pt idx="89">
                  <c:v>-62.8</c:v>
                </c:pt>
                <c:pt idx="90">
                  <c:v>-61.5</c:v>
                </c:pt>
                <c:pt idx="91">
                  <c:v>-61.6</c:v>
                </c:pt>
                <c:pt idx="92">
                  <c:v>-62</c:v>
                </c:pt>
                <c:pt idx="93">
                  <c:v>-62.6</c:v>
                </c:pt>
                <c:pt idx="94">
                  <c:v>-63</c:v>
                </c:pt>
                <c:pt idx="95">
                  <c:v>-63.7</c:v>
                </c:pt>
                <c:pt idx="96">
                  <c:v>-65</c:v>
                </c:pt>
                <c:pt idx="97">
                  <c:v>-65.5</c:v>
                </c:pt>
                <c:pt idx="98">
                  <c:v>-64.099999999999994</c:v>
                </c:pt>
                <c:pt idx="99">
                  <c:v>-61.3</c:v>
                </c:pt>
                <c:pt idx="100">
                  <c:v>-56.4</c:v>
                </c:pt>
                <c:pt idx="101">
                  <c:v>-54.3</c:v>
                </c:pt>
                <c:pt idx="102">
                  <c:v>-55.1</c:v>
                </c:pt>
                <c:pt idx="103">
                  <c:v>-56.4</c:v>
                </c:pt>
                <c:pt idx="104">
                  <c:v>-57.3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xVal>
          <c:yVal>
            <c:numRef>
              <c:f>'Daten Auswertung'!$AS$28:$AS$159</c:f>
              <c:numCache>
                <c:formatCode>0</c:formatCode>
                <c:ptCount val="132"/>
                <c:pt idx="0">
                  <c:v>16</c:v>
                </c:pt>
                <c:pt idx="1">
                  <c:v>25</c:v>
                </c:pt>
                <c:pt idx="2">
                  <c:v>110</c:v>
                </c:pt>
                <c:pt idx="3">
                  <c:v>361</c:v>
                </c:pt>
                <c:pt idx="4">
                  <c:v>480</c:v>
                </c:pt>
                <c:pt idx="5">
                  <c:v>683</c:v>
                </c:pt>
                <c:pt idx="6">
                  <c:v>796</c:v>
                </c:pt>
                <c:pt idx="7">
                  <c:v>909</c:v>
                </c:pt>
                <c:pt idx="8">
                  <c:v>1034</c:v>
                </c:pt>
                <c:pt idx="9">
                  <c:v>1198</c:v>
                </c:pt>
                <c:pt idx="10">
                  <c:v>1526</c:v>
                </c:pt>
                <c:pt idx="11">
                  <c:v>1546</c:v>
                </c:pt>
                <c:pt idx="12">
                  <c:v>1638</c:v>
                </c:pt>
                <c:pt idx="13">
                  <c:v>1730</c:v>
                </c:pt>
                <c:pt idx="14">
                  <c:v>1740</c:v>
                </c:pt>
                <c:pt idx="15">
                  <c:v>2044</c:v>
                </c:pt>
                <c:pt idx="16">
                  <c:v>2086</c:v>
                </c:pt>
                <c:pt idx="17">
                  <c:v>3165</c:v>
                </c:pt>
                <c:pt idx="18">
                  <c:v>3687</c:v>
                </c:pt>
                <c:pt idx="19">
                  <c:v>4354</c:v>
                </c:pt>
                <c:pt idx="20">
                  <c:v>4668</c:v>
                </c:pt>
                <c:pt idx="21">
                  <c:v>4863</c:v>
                </c:pt>
                <c:pt idx="22">
                  <c:v>4976</c:v>
                </c:pt>
                <c:pt idx="23">
                  <c:v>5005</c:v>
                </c:pt>
                <c:pt idx="24">
                  <c:v>5442</c:v>
                </c:pt>
                <c:pt idx="25">
                  <c:v>5548</c:v>
                </c:pt>
                <c:pt idx="26">
                  <c:v>5700</c:v>
                </c:pt>
                <c:pt idx="27">
                  <c:v>5854</c:v>
                </c:pt>
                <c:pt idx="28">
                  <c:v>5870</c:v>
                </c:pt>
                <c:pt idx="29">
                  <c:v>6108</c:v>
                </c:pt>
                <c:pt idx="30">
                  <c:v>6985</c:v>
                </c:pt>
                <c:pt idx="31">
                  <c:v>7420</c:v>
                </c:pt>
                <c:pt idx="32">
                  <c:v>7590</c:v>
                </c:pt>
                <c:pt idx="33">
                  <c:v>8034</c:v>
                </c:pt>
                <c:pt idx="34">
                  <c:v>8485</c:v>
                </c:pt>
                <c:pt idx="35">
                  <c:v>9039</c:v>
                </c:pt>
                <c:pt idx="36">
                  <c:v>9663</c:v>
                </c:pt>
                <c:pt idx="37">
                  <c:v>9710</c:v>
                </c:pt>
                <c:pt idx="38">
                  <c:v>10241</c:v>
                </c:pt>
                <c:pt idx="39">
                  <c:v>10869</c:v>
                </c:pt>
                <c:pt idx="40">
                  <c:v>10980</c:v>
                </c:pt>
                <c:pt idx="41">
                  <c:v>11007</c:v>
                </c:pt>
                <c:pt idx="42">
                  <c:v>11171</c:v>
                </c:pt>
                <c:pt idx="43">
                  <c:v>11199</c:v>
                </c:pt>
                <c:pt idx="44">
                  <c:v>11922</c:v>
                </c:pt>
                <c:pt idx="45">
                  <c:v>11982</c:v>
                </c:pt>
                <c:pt idx="46">
                  <c:v>12166</c:v>
                </c:pt>
                <c:pt idx="47">
                  <c:v>12450</c:v>
                </c:pt>
                <c:pt idx="48">
                  <c:v>12580</c:v>
                </c:pt>
                <c:pt idx="49">
                  <c:v>12948</c:v>
                </c:pt>
                <c:pt idx="50">
                  <c:v>12982</c:v>
                </c:pt>
                <c:pt idx="51">
                  <c:v>13121</c:v>
                </c:pt>
                <c:pt idx="52">
                  <c:v>13698</c:v>
                </c:pt>
                <c:pt idx="53">
                  <c:v>14250</c:v>
                </c:pt>
                <c:pt idx="54">
                  <c:v>14788</c:v>
                </c:pt>
                <c:pt idx="55">
                  <c:v>15100</c:v>
                </c:pt>
                <c:pt idx="56">
                  <c:v>15420</c:v>
                </c:pt>
                <c:pt idx="57">
                  <c:v>15962</c:v>
                </c:pt>
                <c:pt idx="58">
                  <c:v>16065</c:v>
                </c:pt>
                <c:pt idx="59">
                  <c:v>16386</c:v>
                </c:pt>
                <c:pt idx="60">
                  <c:v>16441</c:v>
                </c:pt>
                <c:pt idx="61">
                  <c:v>16610</c:v>
                </c:pt>
                <c:pt idx="62">
                  <c:v>16783</c:v>
                </c:pt>
                <c:pt idx="63">
                  <c:v>16961</c:v>
                </c:pt>
                <c:pt idx="64">
                  <c:v>17734</c:v>
                </c:pt>
                <c:pt idx="65">
                  <c:v>18370</c:v>
                </c:pt>
                <c:pt idx="66">
                  <c:v>18630</c:v>
                </c:pt>
                <c:pt idx="67">
                  <c:v>18713</c:v>
                </c:pt>
                <c:pt idx="68">
                  <c:v>18901</c:v>
                </c:pt>
                <c:pt idx="69">
                  <c:v>19246</c:v>
                </c:pt>
                <c:pt idx="70">
                  <c:v>19341</c:v>
                </c:pt>
                <c:pt idx="71">
                  <c:v>19437</c:v>
                </c:pt>
                <c:pt idx="72">
                  <c:v>19525</c:v>
                </c:pt>
                <c:pt idx="73">
                  <c:v>19677</c:v>
                </c:pt>
                <c:pt idx="74">
                  <c:v>19739</c:v>
                </c:pt>
                <c:pt idx="75">
                  <c:v>19909</c:v>
                </c:pt>
                <c:pt idx="76">
                  <c:v>19952</c:v>
                </c:pt>
                <c:pt idx="77">
                  <c:v>20061</c:v>
                </c:pt>
                <c:pt idx="78">
                  <c:v>20286</c:v>
                </c:pt>
                <c:pt idx="79">
                  <c:v>20520</c:v>
                </c:pt>
                <c:pt idx="80">
                  <c:v>20640</c:v>
                </c:pt>
                <c:pt idx="81">
                  <c:v>21016</c:v>
                </c:pt>
                <c:pt idx="82">
                  <c:v>21417</c:v>
                </c:pt>
                <c:pt idx="83">
                  <c:v>21613</c:v>
                </c:pt>
                <c:pt idx="84">
                  <c:v>22468</c:v>
                </c:pt>
                <c:pt idx="85">
                  <c:v>23163</c:v>
                </c:pt>
                <c:pt idx="86">
                  <c:v>23426</c:v>
                </c:pt>
                <c:pt idx="87">
                  <c:v>23542</c:v>
                </c:pt>
                <c:pt idx="88">
                  <c:v>23740</c:v>
                </c:pt>
                <c:pt idx="89">
                  <c:v>24165</c:v>
                </c:pt>
                <c:pt idx="90">
                  <c:v>24504</c:v>
                </c:pt>
                <c:pt idx="91">
                  <c:v>24621</c:v>
                </c:pt>
                <c:pt idx="92">
                  <c:v>24863</c:v>
                </c:pt>
                <c:pt idx="93">
                  <c:v>25378</c:v>
                </c:pt>
                <c:pt idx="94">
                  <c:v>25652</c:v>
                </c:pt>
                <c:pt idx="95">
                  <c:v>26240</c:v>
                </c:pt>
                <c:pt idx="96">
                  <c:v>26553</c:v>
                </c:pt>
                <c:pt idx="97">
                  <c:v>26682</c:v>
                </c:pt>
                <c:pt idx="98">
                  <c:v>27019</c:v>
                </c:pt>
                <c:pt idx="99">
                  <c:v>27236</c:v>
                </c:pt>
                <c:pt idx="100">
                  <c:v>27615</c:v>
                </c:pt>
                <c:pt idx="101">
                  <c:v>27773</c:v>
                </c:pt>
                <c:pt idx="102">
                  <c:v>28023</c:v>
                </c:pt>
                <c:pt idx="103">
                  <c:v>28461</c:v>
                </c:pt>
                <c:pt idx="104">
                  <c:v>28739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85760"/>
        <c:axId val="67287680"/>
      </c:scatterChart>
      <c:valAx>
        <c:axId val="67285760"/>
        <c:scaling>
          <c:orientation val="minMax"/>
          <c:max val="50"/>
          <c:min val="-100"/>
        </c:scaling>
        <c:delete val="0"/>
        <c:axPos val="b"/>
        <c:numFmt formatCode="0" sourceLinked="0"/>
        <c:majorTickMark val="out"/>
        <c:minorTickMark val="none"/>
        <c:tickLblPos val="nextTo"/>
        <c:crossAx val="67287680"/>
        <c:crosses val="autoZero"/>
        <c:crossBetween val="midCat"/>
      </c:valAx>
      <c:valAx>
        <c:axId val="67287680"/>
        <c:scaling>
          <c:orientation val="minMax"/>
          <c:max val="300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low"/>
        <c:crossAx val="67285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chart" Target="../charts/chart19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18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7.xml"/><Relationship Id="rId5" Type="http://schemas.openxmlformats.org/officeDocument/2006/relationships/chart" Target="../charts/chart13.xml"/><Relationship Id="rId10" Type="http://schemas.openxmlformats.org/officeDocument/2006/relationships/chart" Target="../charts/chart16.xml"/><Relationship Id="rId4" Type="http://schemas.openxmlformats.org/officeDocument/2006/relationships/chart" Target="../charts/chart12.xml"/><Relationship Id="rId9" Type="http://schemas.openxmlformats.org/officeDocument/2006/relationships/image" Target="../media/image3.png"/><Relationship Id="rId1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5.png"/><Relationship Id="rId1" Type="http://schemas.openxmlformats.org/officeDocument/2006/relationships/image" Target="../media/image4.gif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6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723901</xdr:colOff>
      <xdr:row>56</xdr:row>
      <xdr:rowOff>88900</xdr:rowOff>
    </xdr:from>
    <xdr:to>
      <xdr:col>18</xdr:col>
      <xdr:colOff>88900</xdr:colOff>
      <xdr:row>101</xdr:row>
      <xdr:rowOff>139700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50799</xdr:colOff>
      <xdr:row>13</xdr:row>
      <xdr:rowOff>158750</xdr:rowOff>
    </xdr:from>
    <xdr:to>
      <xdr:col>29</xdr:col>
      <xdr:colOff>25400</xdr:colOff>
      <xdr:row>55</xdr:row>
      <xdr:rowOff>25400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409575</xdr:colOff>
      <xdr:row>13</xdr:row>
      <xdr:rowOff>88901</xdr:rowOff>
    </xdr:from>
    <xdr:to>
      <xdr:col>34</xdr:col>
      <xdr:colOff>127000</xdr:colOff>
      <xdr:row>55</xdr:row>
      <xdr:rowOff>1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469899</xdr:colOff>
      <xdr:row>13</xdr:row>
      <xdr:rowOff>165099</xdr:rowOff>
    </xdr:from>
    <xdr:to>
      <xdr:col>42</xdr:col>
      <xdr:colOff>190500</xdr:colOff>
      <xdr:row>54</xdr:row>
      <xdr:rowOff>177800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138509</xdr:colOff>
      <xdr:row>53</xdr:row>
      <xdr:rowOff>114300</xdr:rowOff>
    </xdr:from>
    <xdr:to>
      <xdr:col>14</xdr:col>
      <xdr:colOff>574652</xdr:colOff>
      <xdr:row>55</xdr:row>
      <xdr:rowOff>44796</xdr:rowOff>
    </xdr:to>
    <xdr:sp macro="" textlink="">
      <xdr:nvSpPr>
        <xdr:cNvPr id="12" name="Textfeld 11"/>
        <xdr:cNvSpPr txBox="1"/>
      </xdr:nvSpPr>
      <xdr:spPr>
        <a:xfrm>
          <a:off x="8520509" y="9093200"/>
          <a:ext cx="196014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400">
              <a:solidFill>
                <a:srgbClr val="FF0000"/>
              </a:solidFill>
            </a:rPr>
            <a:t>-------------</a:t>
          </a:r>
          <a:r>
            <a:rPr lang="de-DE" sz="1400" baseline="0">
              <a:solidFill>
                <a:srgbClr val="FF0000"/>
              </a:solidFill>
            </a:rPr>
            <a:t> Temperatur (°C)</a:t>
          </a:r>
          <a:endParaRPr lang="de-DE" sz="14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403526</xdr:colOff>
      <xdr:row>53</xdr:row>
      <xdr:rowOff>127000</xdr:rowOff>
    </xdr:from>
    <xdr:to>
      <xdr:col>17</xdr:col>
      <xdr:colOff>47480</xdr:colOff>
      <xdr:row>55</xdr:row>
      <xdr:rowOff>57496</xdr:rowOff>
    </xdr:to>
    <xdr:sp macro="" textlink="">
      <xdr:nvSpPr>
        <xdr:cNvPr id="13" name="Textfeld 12"/>
        <xdr:cNvSpPr txBox="1"/>
      </xdr:nvSpPr>
      <xdr:spPr>
        <a:xfrm>
          <a:off x="11071526" y="9105900"/>
          <a:ext cx="179025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400">
              <a:solidFill>
                <a:srgbClr val="002060"/>
              </a:solidFill>
            </a:rPr>
            <a:t>-------------</a:t>
          </a:r>
          <a:r>
            <a:rPr lang="de-DE" sz="1400" baseline="0">
              <a:solidFill>
                <a:srgbClr val="002060"/>
              </a:solidFill>
            </a:rPr>
            <a:t> Taupunkt (°C)</a:t>
          </a:r>
          <a:endParaRPr lang="de-DE" sz="1400">
            <a:solidFill>
              <a:srgbClr val="002060"/>
            </a:solidFill>
          </a:endParaRPr>
        </a:p>
      </xdr:txBody>
    </xdr:sp>
    <xdr:clientData/>
  </xdr:twoCellAnchor>
  <xdr:twoCellAnchor>
    <xdr:from>
      <xdr:col>17</xdr:col>
      <xdr:colOff>458103</xdr:colOff>
      <xdr:row>53</xdr:row>
      <xdr:rowOff>127000</xdr:rowOff>
    </xdr:from>
    <xdr:to>
      <xdr:col>19</xdr:col>
      <xdr:colOff>724357</xdr:colOff>
      <xdr:row>55</xdr:row>
      <xdr:rowOff>57496</xdr:rowOff>
    </xdr:to>
    <xdr:sp macro="" textlink="">
      <xdr:nvSpPr>
        <xdr:cNvPr id="17" name="Textfeld 16"/>
        <xdr:cNvSpPr txBox="1"/>
      </xdr:nvSpPr>
      <xdr:spPr>
        <a:xfrm>
          <a:off x="13272403" y="9105900"/>
          <a:ext cx="179025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400">
              <a:solidFill>
                <a:schemeClr val="accent6">
                  <a:lumMod val="75000"/>
                </a:schemeClr>
              </a:solidFill>
            </a:rPr>
            <a:t>-------------</a:t>
          </a:r>
          <a:r>
            <a:rPr lang="de-DE" sz="1400" baseline="0">
              <a:solidFill>
                <a:schemeClr val="accent6">
                  <a:lumMod val="75000"/>
                </a:schemeClr>
              </a:solidFill>
            </a:rPr>
            <a:t> Standard (°C)</a:t>
          </a:r>
          <a:endParaRPr lang="de-DE" sz="14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31</xdr:col>
      <xdr:colOff>533400</xdr:colOff>
      <xdr:row>56</xdr:row>
      <xdr:rowOff>50800</xdr:rowOff>
    </xdr:from>
    <xdr:to>
      <xdr:col>42</xdr:col>
      <xdr:colOff>203200</xdr:colOff>
      <xdr:row>101</xdr:row>
      <xdr:rowOff>146051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63500</xdr:colOff>
      <xdr:row>99</xdr:row>
      <xdr:rowOff>165100</xdr:rowOff>
    </xdr:from>
    <xdr:to>
      <xdr:col>17</xdr:col>
      <xdr:colOff>611009</xdr:colOff>
      <xdr:row>101</xdr:row>
      <xdr:rowOff>95596</xdr:rowOff>
    </xdr:to>
    <xdr:sp macro="" textlink="">
      <xdr:nvSpPr>
        <xdr:cNvPr id="19" name="Textfeld 18"/>
        <xdr:cNvSpPr txBox="1"/>
      </xdr:nvSpPr>
      <xdr:spPr>
        <a:xfrm>
          <a:off x="11493500" y="17907000"/>
          <a:ext cx="193180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400">
              <a:solidFill>
                <a:schemeClr val="accent6">
                  <a:lumMod val="75000"/>
                </a:schemeClr>
              </a:solidFill>
            </a:rPr>
            <a:t>-------------</a:t>
          </a:r>
          <a:r>
            <a:rPr lang="de-DE" sz="1400" baseline="0">
              <a:solidFill>
                <a:schemeClr val="accent6">
                  <a:lumMod val="75000"/>
                </a:schemeClr>
              </a:solidFill>
            </a:rPr>
            <a:t> Standard hPa)</a:t>
          </a:r>
          <a:endParaRPr lang="de-DE" sz="14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17</xdr:col>
      <xdr:colOff>698500</xdr:colOff>
      <xdr:row>16</xdr:row>
      <xdr:rowOff>38100</xdr:rowOff>
    </xdr:from>
    <xdr:to>
      <xdr:col>17</xdr:col>
      <xdr:colOff>698500</xdr:colOff>
      <xdr:row>51</xdr:row>
      <xdr:rowOff>177800</xdr:rowOff>
    </xdr:to>
    <xdr:cxnSp macro="">
      <xdr:nvCxnSpPr>
        <xdr:cNvPr id="5" name="Gerade Verbindung 4"/>
        <xdr:cNvCxnSpPr/>
      </xdr:nvCxnSpPr>
      <xdr:spPr>
        <a:xfrm flipV="1">
          <a:off x="13512800" y="3403600"/>
          <a:ext cx="0" cy="69088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533400</xdr:colOff>
      <xdr:row>60</xdr:row>
      <xdr:rowOff>88900</xdr:rowOff>
    </xdr:from>
    <xdr:to>
      <xdr:col>30</xdr:col>
      <xdr:colOff>533400</xdr:colOff>
      <xdr:row>98</xdr:row>
      <xdr:rowOff>50800</xdr:rowOff>
    </xdr:to>
    <xdr:cxnSp macro="">
      <xdr:nvCxnSpPr>
        <xdr:cNvPr id="30" name="Gerade Verbindung 29"/>
        <xdr:cNvCxnSpPr/>
      </xdr:nvCxnSpPr>
      <xdr:spPr>
        <a:xfrm>
          <a:off x="23393400" y="11849100"/>
          <a:ext cx="0" cy="72009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368300</xdr:colOff>
      <xdr:row>56</xdr:row>
      <xdr:rowOff>88900</xdr:rowOff>
    </xdr:from>
    <xdr:to>
      <xdr:col>31</xdr:col>
      <xdr:colOff>25400</xdr:colOff>
      <xdr:row>101</xdr:row>
      <xdr:rowOff>120651</xdr:rowOff>
    </xdr:to>
    <xdr:grpSp>
      <xdr:nvGrpSpPr>
        <xdr:cNvPr id="22" name="Gruppieren 21"/>
        <xdr:cNvGrpSpPr/>
      </xdr:nvGrpSpPr>
      <xdr:grpSpPr>
        <a:xfrm>
          <a:off x="14773031" y="12046438"/>
          <a:ext cx="10222523" cy="8604251"/>
          <a:chOff x="14770100" y="11341100"/>
          <a:chExt cx="10223500" cy="8604251"/>
        </a:xfrm>
      </xdr:grpSpPr>
      <xdr:graphicFrame macro="">
        <xdr:nvGraphicFramePr>
          <xdr:cNvPr id="16" name="Diagramm 15"/>
          <xdr:cNvGraphicFramePr>
            <a:graphicFrameLocks/>
          </xdr:cNvGraphicFramePr>
        </xdr:nvGraphicFramePr>
        <xdr:xfrm>
          <a:off x="14770100" y="11341100"/>
          <a:ext cx="10223500" cy="86042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8" name="Textfeld 7"/>
          <xdr:cNvSpPr txBox="1"/>
        </xdr:nvSpPr>
        <xdr:spPr>
          <a:xfrm>
            <a:off x="15265400" y="11798300"/>
            <a:ext cx="65710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200"/>
              <a:t>Norden</a:t>
            </a:r>
          </a:p>
        </xdr:txBody>
      </xdr:sp>
      <xdr:sp macro="" textlink="">
        <xdr:nvSpPr>
          <xdr:cNvPr id="23" name="Textfeld 22"/>
          <xdr:cNvSpPr txBox="1"/>
        </xdr:nvSpPr>
        <xdr:spPr>
          <a:xfrm>
            <a:off x="17614900" y="11811000"/>
            <a:ext cx="555730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200"/>
              <a:t>Osten</a:t>
            </a:r>
          </a:p>
        </xdr:txBody>
      </xdr:sp>
      <xdr:sp macro="" textlink="">
        <xdr:nvSpPr>
          <xdr:cNvPr id="24" name="Textfeld 23"/>
          <xdr:cNvSpPr txBox="1"/>
        </xdr:nvSpPr>
        <xdr:spPr>
          <a:xfrm>
            <a:off x="19888200" y="11785600"/>
            <a:ext cx="574516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200"/>
              <a:t>Süden</a:t>
            </a:r>
          </a:p>
        </xdr:txBody>
      </xdr:sp>
      <xdr:sp macro="" textlink="">
        <xdr:nvSpPr>
          <xdr:cNvPr id="25" name="Textfeld 24"/>
          <xdr:cNvSpPr txBox="1"/>
        </xdr:nvSpPr>
        <xdr:spPr>
          <a:xfrm>
            <a:off x="22123400" y="11811000"/>
            <a:ext cx="667299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200"/>
              <a:t>Westen</a:t>
            </a:r>
          </a:p>
        </xdr:txBody>
      </xdr:sp>
      <xdr:sp macro="" textlink="">
        <xdr:nvSpPr>
          <xdr:cNvPr id="27" name="Textfeld 26"/>
          <xdr:cNvSpPr txBox="1"/>
        </xdr:nvSpPr>
        <xdr:spPr>
          <a:xfrm>
            <a:off x="24307800" y="11811000"/>
            <a:ext cx="65710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200"/>
              <a:t>Norden</a:t>
            </a:r>
          </a:p>
        </xdr:txBody>
      </xdr:sp>
      <xdr:cxnSp macro="">
        <xdr:nvCxnSpPr>
          <xdr:cNvPr id="11" name="Gerade Verbindung 10"/>
          <xdr:cNvCxnSpPr/>
        </xdr:nvCxnSpPr>
        <xdr:spPr>
          <a:xfrm>
            <a:off x="17894300" y="12115800"/>
            <a:ext cx="0" cy="720090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Gerade Verbindung 27"/>
          <xdr:cNvCxnSpPr/>
        </xdr:nvCxnSpPr>
        <xdr:spPr>
          <a:xfrm>
            <a:off x="20167600" y="12077700"/>
            <a:ext cx="0" cy="720090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Gerade Verbindung 30"/>
          <xdr:cNvCxnSpPr/>
        </xdr:nvCxnSpPr>
        <xdr:spPr>
          <a:xfrm>
            <a:off x="22440900" y="12077700"/>
            <a:ext cx="0" cy="728980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Gerade Verbindung 31"/>
          <xdr:cNvCxnSpPr/>
        </xdr:nvCxnSpPr>
        <xdr:spPr>
          <a:xfrm>
            <a:off x="15608300" y="12103100"/>
            <a:ext cx="0" cy="727710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0</xdr:colOff>
      <xdr:row>106</xdr:row>
      <xdr:rowOff>0</xdr:rowOff>
    </xdr:from>
    <xdr:to>
      <xdr:col>21</xdr:col>
      <xdr:colOff>203200</xdr:colOff>
      <xdr:row>150</xdr:row>
      <xdr:rowOff>63500</xdr:rowOff>
    </xdr:to>
    <xdr:graphicFrame macro="">
      <xdr:nvGraphicFramePr>
        <xdr:cNvPr id="33" name="Diagram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279400</xdr:colOff>
      <xdr:row>111</xdr:row>
      <xdr:rowOff>101600</xdr:rowOff>
    </xdr:from>
    <xdr:to>
      <xdr:col>18</xdr:col>
      <xdr:colOff>279400</xdr:colOff>
      <xdr:row>144</xdr:row>
      <xdr:rowOff>50800</xdr:rowOff>
    </xdr:to>
    <xdr:cxnSp macro="">
      <xdr:nvCxnSpPr>
        <xdr:cNvPr id="3" name="Gerade Verbindung 2"/>
        <xdr:cNvCxnSpPr/>
      </xdr:nvCxnSpPr>
      <xdr:spPr>
        <a:xfrm flipV="1">
          <a:off x="14681200" y="21767800"/>
          <a:ext cx="0" cy="7797800"/>
        </a:xfrm>
        <a:prstGeom prst="line">
          <a:avLst/>
        </a:prstGeom>
        <a:ln w="28575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749300</xdr:colOff>
      <xdr:row>15</xdr:row>
      <xdr:rowOff>177800</xdr:rowOff>
    </xdr:from>
    <xdr:ext cx="184731" cy="264560"/>
    <xdr:sp macro="" textlink="">
      <xdr:nvSpPr>
        <xdr:cNvPr id="2" name="Textfeld 1"/>
        <xdr:cNvSpPr txBox="1"/>
      </xdr:nvSpPr>
      <xdr:spPr>
        <a:xfrm>
          <a:off x="10655300" y="35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10</xdr:col>
      <xdr:colOff>723900</xdr:colOff>
      <xdr:row>13</xdr:row>
      <xdr:rowOff>165100</xdr:rowOff>
    </xdr:from>
    <xdr:to>
      <xdr:col>20</xdr:col>
      <xdr:colOff>673100</xdr:colOff>
      <xdr:row>55</xdr:row>
      <xdr:rowOff>69851</xdr:rowOff>
    </xdr:to>
    <xdr:grpSp>
      <xdr:nvGrpSpPr>
        <xdr:cNvPr id="21" name="Gruppieren 20"/>
        <xdr:cNvGrpSpPr/>
      </xdr:nvGrpSpPr>
      <xdr:grpSpPr>
        <a:xfrm>
          <a:off x="8343900" y="3725985"/>
          <a:ext cx="8638931" cy="8110904"/>
          <a:chOff x="8343900" y="3022600"/>
          <a:chExt cx="8636000" cy="8108951"/>
        </a:xfrm>
      </xdr:grpSpPr>
      <xdr:graphicFrame macro="">
        <xdr:nvGraphicFramePr>
          <xdr:cNvPr id="15" name="Diagramm 14"/>
          <xdr:cNvGraphicFramePr>
            <a:graphicFrameLocks/>
          </xdr:cNvGraphicFramePr>
        </xdr:nvGraphicFramePr>
        <xdr:xfrm>
          <a:off x="8343900" y="3022600"/>
          <a:ext cx="8636000" cy="8108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0" name="Textfeld 9"/>
          <xdr:cNvSpPr txBox="1"/>
        </xdr:nvSpPr>
        <xdr:spPr>
          <a:xfrm>
            <a:off x="10033000" y="3314700"/>
            <a:ext cx="6281720" cy="2860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1400"/>
              <a:t>Vertikalprofil: Temperatur, Taupunkt und Temperatur der Standardatmosphäre (°C)</a:t>
            </a:r>
          </a:p>
        </xdr:txBody>
      </xdr:sp>
    </xdr:grpSp>
    <xdr:clientData/>
  </xdr:twoCellAnchor>
  <xdr:twoCellAnchor editAs="oneCell">
    <xdr:from>
      <xdr:col>28</xdr:col>
      <xdr:colOff>0</xdr:colOff>
      <xdr:row>107</xdr:row>
      <xdr:rowOff>0</xdr:rowOff>
    </xdr:from>
    <xdr:to>
      <xdr:col>42</xdr:col>
      <xdr:colOff>295275</xdr:colOff>
      <xdr:row>144</xdr:row>
      <xdr:rowOff>125611</xdr:rowOff>
    </xdr:to>
    <xdr:pic>
      <xdr:nvPicPr>
        <xdr:cNvPr id="38" name="Grafik 37" descr="http://weather.uwyo.edu/upperair/images/2019092000.48698.stuve.parc.gif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7600" y="21945600"/>
          <a:ext cx="10963275" cy="8907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0</xdr:colOff>
      <xdr:row>26</xdr:row>
      <xdr:rowOff>0</xdr:rowOff>
    </xdr:from>
    <xdr:to>
      <xdr:col>91</xdr:col>
      <xdr:colOff>0</xdr:colOff>
      <xdr:row>40</xdr:row>
      <xdr:rowOff>76200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85</xdr:col>
      <xdr:colOff>9525</xdr:colOff>
      <xdr:row>41</xdr:row>
      <xdr:rowOff>95250</xdr:rowOff>
    </xdr:from>
    <xdr:to>
      <xdr:col>91</xdr:col>
      <xdr:colOff>9525</xdr:colOff>
      <xdr:row>55</xdr:row>
      <xdr:rowOff>171450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85</xdr:col>
      <xdr:colOff>9525</xdr:colOff>
      <xdr:row>72</xdr:row>
      <xdr:rowOff>0</xdr:rowOff>
    </xdr:from>
    <xdr:to>
      <xdr:col>91</xdr:col>
      <xdr:colOff>9525</xdr:colOff>
      <xdr:row>86</xdr:row>
      <xdr:rowOff>76200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85</xdr:col>
      <xdr:colOff>9525</xdr:colOff>
      <xdr:row>108</xdr:row>
      <xdr:rowOff>95250</xdr:rowOff>
    </xdr:from>
    <xdr:to>
      <xdr:col>91</xdr:col>
      <xdr:colOff>9525</xdr:colOff>
      <xdr:row>122</xdr:row>
      <xdr:rowOff>171450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85</xdr:col>
      <xdr:colOff>19050</xdr:colOff>
      <xdr:row>123</xdr:row>
      <xdr:rowOff>114300</xdr:rowOff>
    </xdr:from>
    <xdr:to>
      <xdr:col>91</xdr:col>
      <xdr:colOff>19050</xdr:colOff>
      <xdr:row>138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85</xdr:col>
      <xdr:colOff>28575</xdr:colOff>
      <xdr:row>57</xdr:row>
      <xdr:rowOff>9525</xdr:rowOff>
    </xdr:from>
    <xdr:to>
      <xdr:col>91</xdr:col>
      <xdr:colOff>28575</xdr:colOff>
      <xdr:row>71</xdr:row>
      <xdr:rowOff>85725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91</xdr:col>
      <xdr:colOff>757237</xdr:colOff>
      <xdr:row>25</xdr:row>
      <xdr:rowOff>280987</xdr:rowOff>
    </xdr:from>
    <xdr:to>
      <xdr:col>97</xdr:col>
      <xdr:colOff>757237</xdr:colOff>
      <xdr:row>40</xdr:row>
      <xdr:rowOff>71437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73</xdr:col>
      <xdr:colOff>66675</xdr:colOff>
      <xdr:row>23</xdr:row>
      <xdr:rowOff>171449</xdr:rowOff>
    </xdr:from>
    <xdr:to>
      <xdr:col>75</xdr:col>
      <xdr:colOff>542925</xdr:colOff>
      <xdr:row>25</xdr:row>
      <xdr:rowOff>44449</xdr:rowOff>
    </xdr:to>
    <xdr:pic>
      <xdr:nvPicPr>
        <xdr:cNvPr id="17" name="Grafik 16" descr="p(h) = 1013{,}25 \cdot \left( 1 - \frac{0{,}0065 \frac{\mathrm K}{\mathrm m}  \cdot h}{288{,}15\ \mathrm{K}} \right)^{5{,}255} \mathrm{hPa}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3675" y="1228724"/>
          <a:ext cx="2000250" cy="28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68</xdr:col>
      <xdr:colOff>66675</xdr:colOff>
      <xdr:row>24</xdr:row>
      <xdr:rowOff>38100</xdr:rowOff>
    </xdr:from>
    <xdr:to>
      <xdr:col>69</xdr:col>
      <xdr:colOff>371475</xdr:colOff>
      <xdr:row>25</xdr:row>
      <xdr:rowOff>38100</xdr:rowOff>
    </xdr:to>
    <xdr:pic>
      <xdr:nvPicPr>
        <xdr:cNvPr id="18" name="Grafik 17" descr="T = T_0 - \frac{6{,}5{K}}{1000\,\mathrm{m}}\cdot h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43675" y="1285875"/>
          <a:ext cx="10668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92</xdr:col>
      <xdr:colOff>0</xdr:colOff>
      <xdr:row>93</xdr:row>
      <xdr:rowOff>0</xdr:rowOff>
    </xdr:from>
    <xdr:to>
      <xdr:col>98</xdr:col>
      <xdr:colOff>0</xdr:colOff>
      <xdr:row>107</xdr:row>
      <xdr:rowOff>76200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85</xdr:col>
      <xdr:colOff>0</xdr:colOff>
      <xdr:row>93</xdr:row>
      <xdr:rowOff>0</xdr:rowOff>
    </xdr:from>
    <xdr:to>
      <xdr:col>91</xdr:col>
      <xdr:colOff>0</xdr:colOff>
      <xdr:row>107</xdr:row>
      <xdr:rowOff>76200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85</xdr:col>
      <xdr:colOff>33337</xdr:colOff>
      <xdr:row>140</xdr:row>
      <xdr:rowOff>23812</xdr:rowOff>
    </xdr:from>
    <xdr:to>
      <xdr:col>91</xdr:col>
      <xdr:colOff>33337</xdr:colOff>
      <xdr:row>154</xdr:row>
      <xdr:rowOff>100012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85</xdr:col>
      <xdr:colOff>90487</xdr:colOff>
      <xdr:row>155</xdr:row>
      <xdr:rowOff>109537</xdr:rowOff>
    </xdr:from>
    <xdr:to>
      <xdr:col>91</xdr:col>
      <xdr:colOff>90487</xdr:colOff>
      <xdr:row>169</xdr:row>
      <xdr:rowOff>185737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85</xdr:col>
      <xdr:colOff>0</xdr:colOff>
      <xdr:row>173</xdr:row>
      <xdr:rowOff>114300</xdr:rowOff>
    </xdr:from>
    <xdr:to>
      <xdr:col>91</xdr:col>
      <xdr:colOff>0</xdr:colOff>
      <xdr:row>188</xdr:row>
      <xdr:rowOff>0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10</xdr:col>
      <xdr:colOff>546100</xdr:colOff>
      <xdr:row>6</xdr:row>
      <xdr:rowOff>25400</xdr:rowOff>
    </xdr:to>
    <xdr:pic>
      <xdr:nvPicPr>
        <xdr:cNvPr id="3" name="Grafik 2" descr="p(h) = 1013{,}25 \cdot \left( 1 - \frac{0{,}0065 \frac{\mathrm K}{\mathrm m}  \cdot h}{288{,}15\ \mathrm{K}} \right)^{5{,}255} \mathrm{hPa}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76275"/>
          <a:ext cx="3594100" cy="59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114300</xdr:colOff>
      <xdr:row>11</xdr:row>
      <xdr:rowOff>25400</xdr:rowOff>
    </xdr:to>
    <xdr:pic>
      <xdr:nvPicPr>
        <xdr:cNvPr id="4" name="Grafik 3" descr="T = T_0 - \frac{6{,}5{K}}{1000\,\mathrm{m}}\cdot h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819275"/>
          <a:ext cx="163830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723900</xdr:colOff>
      <xdr:row>30</xdr:row>
      <xdr:rowOff>1876425</xdr:rowOff>
    </xdr:from>
    <xdr:to>
      <xdr:col>16</xdr:col>
      <xdr:colOff>28575</xdr:colOff>
      <xdr:row>30</xdr:row>
      <xdr:rowOff>2886075</xdr:rowOff>
    </xdr:to>
    <xdr:pic>
      <xdr:nvPicPr>
        <xdr:cNvPr id="10" name="Grafik 15" descr="ams2001glos-Me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6715125"/>
          <a:ext cx="17621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209549</xdr:colOff>
      <xdr:row>30</xdr:row>
      <xdr:rowOff>2325370</xdr:rowOff>
    </xdr:from>
    <xdr:to>
      <xdr:col>18</xdr:col>
      <xdr:colOff>438150</xdr:colOff>
      <xdr:row>30</xdr:row>
      <xdr:rowOff>2809875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49" y="8507095"/>
          <a:ext cx="1752601" cy="484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74</xdr:row>
      <xdr:rowOff>19050</xdr:rowOff>
    </xdr:from>
    <xdr:to>
      <xdr:col>9</xdr:col>
      <xdr:colOff>333375</xdr:colOff>
      <xdr:row>101</xdr:row>
      <xdr:rowOff>96837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13</xdr:col>
      <xdr:colOff>333375</xdr:colOff>
      <xdr:row>28</xdr:row>
      <xdr:rowOff>20637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113</xdr:row>
      <xdr:rowOff>0</xdr:rowOff>
    </xdr:from>
    <xdr:to>
      <xdr:col>22</xdr:col>
      <xdr:colOff>66675</xdr:colOff>
      <xdr:row>113</xdr:row>
      <xdr:rowOff>1009650</xdr:rowOff>
    </xdr:to>
    <xdr:pic>
      <xdr:nvPicPr>
        <xdr:cNvPr id="6" name="Grafik 15" descr="ams2001glos-Me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5155525"/>
          <a:ext cx="159067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342900</xdr:colOff>
      <xdr:row>113</xdr:row>
      <xdr:rowOff>581025</xdr:rowOff>
    </xdr:from>
    <xdr:to>
      <xdr:col>24</xdr:col>
      <xdr:colOff>571501</xdr:colOff>
      <xdr:row>113</xdr:row>
      <xdr:rowOff>1065530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25736550"/>
          <a:ext cx="1752601" cy="484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452436</xdr:colOff>
      <xdr:row>116</xdr:row>
      <xdr:rowOff>76200</xdr:rowOff>
    </xdr:from>
    <xdr:to>
      <xdr:col>44</xdr:col>
      <xdr:colOff>514349</xdr:colOff>
      <xdr:row>148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38179</xdr:colOff>
      <xdr:row>27</xdr:row>
      <xdr:rowOff>247650</xdr:rowOff>
    </xdr:from>
    <xdr:to>
      <xdr:col>52</xdr:col>
      <xdr:colOff>676274</xdr:colOff>
      <xdr:row>54</xdr:row>
      <xdr:rowOff>186323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66179" y="6343650"/>
          <a:ext cx="6734095" cy="5310773"/>
        </a:xfrm>
        <a:prstGeom prst="rect">
          <a:avLst/>
        </a:prstGeom>
      </xdr:spPr>
    </xdr:pic>
    <xdr:clientData/>
  </xdr:twoCellAnchor>
  <xdr:twoCellAnchor>
    <xdr:from>
      <xdr:col>22</xdr:col>
      <xdr:colOff>738187</xdr:colOff>
      <xdr:row>26</xdr:row>
      <xdr:rowOff>123825</xdr:rowOff>
    </xdr:from>
    <xdr:to>
      <xdr:col>31</xdr:col>
      <xdr:colOff>123825</xdr:colOff>
      <xdr:row>55</xdr:row>
      <xdr:rowOff>128587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95250</xdr:colOff>
      <xdr:row>26</xdr:row>
      <xdr:rowOff>95250</xdr:rowOff>
    </xdr:from>
    <xdr:to>
      <xdr:col>41</xdr:col>
      <xdr:colOff>242888</xdr:colOff>
      <xdr:row>55</xdr:row>
      <xdr:rowOff>100012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55</xdr:col>
      <xdr:colOff>742950</xdr:colOff>
      <xdr:row>61</xdr:row>
      <xdr:rowOff>38100</xdr:rowOff>
    </xdr:from>
    <xdr:to>
      <xdr:col>60</xdr:col>
      <xdr:colOff>314325</xdr:colOff>
      <xdr:row>89</xdr:row>
      <xdr:rowOff>42862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247650</xdr:colOff>
      <xdr:row>2</xdr:row>
      <xdr:rowOff>133350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90500"/>
          <a:ext cx="17716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6</xdr:col>
      <xdr:colOff>314325</xdr:colOff>
      <xdr:row>17</xdr:row>
      <xdr:rowOff>114300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695700"/>
          <a:ext cx="10763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1"/>
  <sheetViews>
    <sheetView tabSelected="1" zoomScale="65" zoomScaleNormal="65" workbookViewId="0">
      <selection activeCell="P7" sqref="P7"/>
    </sheetView>
  </sheetViews>
  <sheetFormatPr baseColWidth="10" defaultRowHeight="15" x14ac:dyDescent="0.25"/>
  <cols>
    <col min="13" max="13" width="11.42578125" customWidth="1"/>
    <col min="17" max="17" width="20.7109375" customWidth="1"/>
    <col min="18" max="18" width="12.42578125" customWidth="1"/>
    <col min="20" max="20" width="17.140625" customWidth="1"/>
    <col min="21" max="21" width="15.5703125" customWidth="1"/>
  </cols>
  <sheetData>
    <row r="1" spans="1:48" ht="23.25" x14ac:dyDescent="0.35">
      <c r="B1" s="18" t="s">
        <v>26</v>
      </c>
    </row>
    <row r="2" spans="1:48" ht="23.25" x14ac:dyDescent="0.35">
      <c r="B2" s="17" t="s">
        <v>25</v>
      </c>
      <c r="R2" s="168" t="s">
        <v>61</v>
      </c>
      <c r="S2" s="168" t="s">
        <v>62</v>
      </c>
      <c r="T2" s="168" t="s">
        <v>63</v>
      </c>
      <c r="U2" s="168" t="s">
        <v>64</v>
      </c>
      <c r="V2" s="38"/>
      <c r="W2" s="179" t="s">
        <v>199</v>
      </c>
      <c r="Y2" s="169" t="s">
        <v>195</v>
      </c>
      <c r="Z2" s="6"/>
      <c r="AA2" s="6"/>
      <c r="AB2" s="6"/>
      <c r="AC2" s="6"/>
      <c r="AE2" s="169" t="s">
        <v>69</v>
      </c>
      <c r="AF2" s="6"/>
      <c r="AG2" s="6"/>
      <c r="AH2" s="6"/>
      <c r="AI2" s="6"/>
      <c r="AJ2" s="6"/>
      <c r="AL2" s="177" t="s">
        <v>129</v>
      </c>
      <c r="AM2" s="6"/>
      <c r="AN2" s="6"/>
      <c r="AO2" s="6"/>
      <c r="AP2" s="6"/>
      <c r="AQ2" s="41"/>
    </row>
    <row r="3" spans="1:48" ht="23.25" x14ac:dyDescent="0.35">
      <c r="B3" s="17"/>
      <c r="R3" s="45">
        <f>'Daten Auswertung'!Y28</f>
        <v>1010</v>
      </c>
      <c r="S3" s="45">
        <f>'Daten Auswertung'!Z28</f>
        <v>16</v>
      </c>
      <c r="T3" s="46">
        <f>'Daten Auswertung'!AA28</f>
        <v>28.2</v>
      </c>
      <c r="U3" s="46">
        <f>'Daten Auswertung'!AB28</f>
        <v>25</v>
      </c>
      <c r="W3" s="180">
        <f>'Daten Auswertung'!H9</f>
        <v>-6.9209039548022604</v>
      </c>
      <c r="Y3" s="170" t="s">
        <v>37</v>
      </c>
      <c r="Z3" s="6"/>
      <c r="AA3" s="6"/>
      <c r="AB3" s="6"/>
      <c r="AC3" s="6"/>
      <c r="AE3" s="44" t="s">
        <v>67</v>
      </c>
      <c r="AF3" s="6"/>
      <c r="AG3" s="6"/>
      <c r="AH3" s="6"/>
      <c r="AI3" s="6"/>
      <c r="AJ3" s="6"/>
      <c r="AL3" s="44" t="s">
        <v>198</v>
      </c>
      <c r="AM3" s="6"/>
      <c r="AN3" s="6"/>
      <c r="AO3" s="6"/>
      <c r="AP3" s="6"/>
      <c r="AQ3" s="41"/>
      <c r="AR3" s="41"/>
      <c r="AS3" s="41"/>
      <c r="AT3" s="41"/>
    </row>
    <row r="4" spans="1:48" ht="18.75" x14ac:dyDescent="0.3">
      <c r="J4" s="41"/>
      <c r="K4" s="41"/>
      <c r="R4" s="6">
        <f>'Daten Auswertung'!B9</f>
        <v>1000</v>
      </c>
      <c r="S4" s="6">
        <f>'Daten Auswertung'!C9</f>
        <v>110</v>
      </c>
      <c r="T4" s="6">
        <f>'Daten Auswertung'!D9</f>
        <v>27.2</v>
      </c>
      <c r="U4" s="6">
        <f>'Daten Auswertung'!E9</f>
        <v>24.4</v>
      </c>
      <c r="W4" s="180">
        <f>'Daten Auswertung'!H10</f>
        <v>-4.8810250152532024</v>
      </c>
      <c r="Y4" s="171" t="s">
        <v>38</v>
      </c>
      <c r="Z4" s="172">
        <f>'Daten Auswertung'!AE11</f>
        <v>21.199999999999996</v>
      </c>
      <c r="AA4" s="6"/>
      <c r="AB4" s="6"/>
      <c r="AC4" s="6"/>
      <c r="AE4" s="171" t="s">
        <v>68</v>
      </c>
      <c r="AF4" s="172">
        <f>'Daten Auswertung'!AH13</f>
        <v>45.9</v>
      </c>
      <c r="AG4" s="6"/>
      <c r="AH4" s="6"/>
      <c r="AI4" s="6"/>
      <c r="AJ4" s="6"/>
      <c r="AL4" s="178">
        <f>'Daten Auswertung'!CZ165</f>
        <v>41.582538382006824</v>
      </c>
      <c r="AM4" s="42" t="s">
        <v>196</v>
      </c>
      <c r="AN4" s="6"/>
      <c r="AO4" s="6"/>
      <c r="AP4" s="6"/>
      <c r="AQ4" s="41"/>
    </row>
    <row r="5" spans="1:48" ht="18.75" x14ac:dyDescent="0.3">
      <c r="J5" s="41"/>
      <c r="R5" s="6">
        <f>'Daten Auswertung'!B10</f>
        <v>850</v>
      </c>
      <c r="S5" s="6">
        <f>'Daten Auswertung'!C10</f>
        <v>1526</v>
      </c>
      <c r="T5" s="6">
        <f>'Daten Auswertung'!D10</f>
        <v>17.399999999999999</v>
      </c>
      <c r="U5" s="6">
        <f>'Daten Auswertung'!E10</f>
        <v>15.1</v>
      </c>
      <c r="W5" s="180">
        <f>'Daten Auswertung'!H11</f>
        <v>-5.9519408502772642</v>
      </c>
      <c r="Y5" s="173" t="s">
        <v>78</v>
      </c>
      <c r="Z5" s="173" t="s">
        <v>41</v>
      </c>
      <c r="AA5" s="174"/>
      <c r="AB5" s="6"/>
      <c r="AC5" s="6"/>
      <c r="AE5" s="173" t="s">
        <v>82</v>
      </c>
      <c r="AF5" s="42" t="s">
        <v>70</v>
      </c>
      <c r="AG5" s="42"/>
      <c r="AH5" s="42"/>
      <c r="AI5" s="6"/>
      <c r="AJ5" s="175"/>
      <c r="AQ5" s="41"/>
    </row>
    <row r="6" spans="1:48" ht="18.75" x14ac:dyDescent="0.3">
      <c r="R6" s="6">
        <f>'Daten Auswertung'!B11</f>
        <v>700</v>
      </c>
      <c r="S6" s="6">
        <f>'Daten Auswertung'!C11</f>
        <v>3165</v>
      </c>
      <c r="T6" s="6">
        <f>'Daten Auswertung'!D11</f>
        <v>9.4</v>
      </c>
      <c r="U6" s="6">
        <f>'Daten Auswertung'!E11</f>
        <v>-8.6</v>
      </c>
      <c r="W6" s="180">
        <f>'Daten Auswertung'!H12</f>
        <v>-4.5348837209302317</v>
      </c>
      <c r="Y6" s="173" t="s">
        <v>79</v>
      </c>
      <c r="Z6" s="173" t="s">
        <v>43</v>
      </c>
      <c r="AA6" s="174"/>
      <c r="AB6" s="6"/>
      <c r="AC6" s="6"/>
      <c r="AE6" s="173" t="s">
        <v>71</v>
      </c>
      <c r="AF6" s="42" t="s">
        <v>72</v>
      </c>
      <c r="AG6" s="42"/>
      <c r="AH6" s="42"/>
      <c r="AI6" s="6"/>
      <c r="AJ6" s="175"/>
    </row>
    <row r="7" spans="1:48" ht="18.75" x14ac:dyDescent="0.3">
      <c r="B7" s="158" t="s">
        <v>55</v>
      </c>
      <c r="C7" s="6"/>
      <c r="D7" s="6"/>
      <c r="E7" s="6"/>
      <c r="F7" s="6"/>
      <c r="G7" s="6"/>
      <c r="H7" s="6"/>
      <c r="I7" s="6"/>
      <c r="L7" s="159" t="s">
        <v>65</v>
      </c>
      <c r="M7" s="160"/>
      <c r="N7" s="159"/>
      <c r="O7" s="161"/>
      <c r="P7" s="188">
        <v>28</v>
      </c>
      <c r="Q7" s="39" t="s">
        <v>66</v>
      </c>
      <c r="R7" s="6">
        <f>'Daten Auswertung'!B12</f>
        <v>500</v>
      </c>
      <c r="S7" s="6">
        <f>'Daten Auswertung'!C12</f>
        <v>5870</v>
      </c>
      <c r="T7" s="6">
        <f>'Daten Auswertung'!D12</f>
        <v>-6.7</v>
      </c>
      <c r="U7" s="6">
        <f>'Daten Auswertung'!E12</f>
        <v>-23.7</v>
      </c>
      <c r="W7" s="180">
        <f>'Daten Auswertung'!H13</f>
        <v>-7.0754716981132075</v>
      </c>
      <c r="Y7" s="173" t="s">
        <v>80</v>
      </c>
      <c r="Z7" s="173" t="s">
        <v>45</v>
      </c>
      <c r="AA7" s="174"/>
      <c r="AB7" s="6"/>
      <c r="AC7" s="6"/>
      <c r="AE7" s="173" t="s">
        <v>73</v>
      </c>
      <c r="AF7" s="42" t="s">
        <v>74</v>
      </c>
      <c r="AG7" s="42"/>
      <c r="AH7" s="42"/>
      <c r="AI7" s="6"/>
      <c r="AJ7" s="175"/>
    </row>
    <row r="8" spans="1:48" ht="18.75" x14ac:dyDescent="0.3">
      <c r="B8" s="158" t="s">
        <v>56</v>
      </c>
      <c r="C8" s="6"/>
      <c r="D8" s="6"/>
      <c r="E8" s="6"/>
      <c r="F8" s="6"/>
      <c r="G8" s="6"/>
      <c r="H8" s="6"/>
      <c r="I8" s="6"/>
      <c r="L8" s="160" t="s">
        <v>58</v>
      </c>
      <c r="M8" s="160"/>
      <c r="N8" s="160"/>
      <c r="O8" s="160"/>
      <c r="R8" s="6">
        <f>'Daten Auswertung'!B13</f>
        <v>400</v>
      </c>
      <c r="S8" s="6">
        <f>'Daten Auswertung'!C13</f>
        <v>7590</v>
      </c>
      <c r="T8" s="6">
        <f>'Daten Auswertung'!D13</f>
        <v>-14.5</v>
      </c>
      <c r="U8" s="6">
        <f>'Daten Auswertung'!E13</f>
        <v>-46.5</v>
      </c>
      <c r="W8" s="180">
        <f>'Daten Auswertung'!H14</f>
        <v>-8.7591240875912408</v>
      </c>
      <c r="AE8" s="173" t="s">
        <v>77</v>
      </c>
      <c r="AF8" s="42" t="s">
        <v>75</v>
      </c>
      <c r="AG8" s="42"/>
      <c r="AH8" s="42"/>
      <c r="AI8" s="6"/>
      <c r="AJ8" s="175"/>
    </row>
    <row r="9" spans="1:48" ht="18.75" customHeight="1" x14ac:dyDescent="0.5">
      <c r="A9" s="41"/>
      <c r="B9" s="158" t="s">
        <v>145</v>
      </c>
      <c r="C9" s="6"/>
      <c r="D9" s="6"/>
      <c r="E9" s="6"/>
      <c r="F9" s="6"/>
      <c r="G9" s="6"/>
      <c r="H9" s="6"/>
      <c r="I9" s="6"/>
      <c r="J9" s="41"/>
      <c r="L9" s="160" t="s">
        <v>59</v>
      </c>
      <c r="M9" s="160"/>
      <c r="N9" s="160"/>
      <c r="O9" s="160"/>
      <c r="R9" s="6">
        <f>'Daten Auswertung'!B14</f>
        <v>300</v>
      </c>
      <c r="S9" s="6">
        <f>'Daten Auswertung'!C14</f>
        <v>9710</v>
      </c>
      <c r="T9" s="6">
        <f>'Daten Auswertung'!D14</f>
        <v>-29.5</v>
      </c>
      <c r="U9" s="6">
        <f>'Daten Auswertung'!E14</f>
        <v>-55.5</v>
      </c>
      <c r="W9" s="180">
        <f>'Daten Auswertung'!H15</f>
        <v>-5.8653846153846168</v>
      </c>
      <c r="AE9" s="173" t="s">
        <v>81</v>
      </c>
      <c r="AF9" s="42" t="s">
        <v>76</v>
      </c>
      <c r="AG9" s="42"/>
      <c r="AH9" s="42"/>
      <c r="AI9" s="6"/>
      <c r="AJ9" s="176"/>
      <c r="AV9" s="156"/>
    </row>
    <row r="10" spans="1:48" ht="19.5" customHeight="1" x14ac:dyDescent="0.5">
      <c r="A10" s="41"/>
      <c r="B10" s="53"/>
      <c r="C10" s="41"/>
      <c r="D10" s="41"/>
      <c r="E10" s="41"/>
      <c r="F10" s="41"/>
      <c r="G10" s="41"/>
      <c r="H10" s="41"/>
      <c r="I10" s="41"/>
      <c r="J10" s="41"/>
      <c r="L10" s="160" t="s">
        <v>60</v>
      </c>
      <c r="M10" s="160"/>
      <c r="N10" s="160"/>
      <c r="O10" s="160"/>
      <c r="R10" s="6">
        <f>'Daten Auswertung'!B15</f>
        <v>200</v>
      </c>
      <c r="S10" s="6">
        <f>'Daten Auswertung'!C15</f>
        <v>12450</v>
      </c>
      <c r="T10" s="6">
        <f>'Daten Auswertung'!D15</f>
        <v>-53.5</v>
      </c>
      <c r="U10" s="6">
        <f>'Daten Auswertung'!E15</f>
        <v>-56.9</v>
      </c>
      <c r="W10" s="181"/>
      <c r="AC10" s="48"/>
      <c r="AD10" s="39"/>
      <c r="AE10" s="39"/>
      <c r="AF10" s="39"/>
      <c r="AH10" s="47"/>
      <c r="AV10" s="156"/>
    </row>
    <row r="11" spans="1:48" ht="31.5" x14ac:dyDescent="0.5">
      <c r="A11" s="6"/>
      <c r="B11" s="43" t="s">
        <v>57</v>
      </c>
      <c r="E11" s="6"/>
      <c r="F11" s="6"/>
      <c r="G11" s="6"/>
      <c r="H11" s="6"/>
      <c r="I11" s="6"/>
      <c r="J11" s="41"/>
      <c r="R11" s="6">
        <f>'Daten Auswertung'!B16</f>
        <v>100</v>
      </c>
      <c r="S11" s="6">
        <f>'Daten Auswertung'!C16</f>
        <v>16610</v>
      </c>
      <c r="T11" s="6">
        <f>'Daten Auswertung'!D16</f>
        <v>-77.900000000000006</v>
      </c>
      <c r="U11" s="6">
        <f>'Daten Auswertung'!E16</f>
        <v>-86.9</v>
      </c>
      <c r="W11" s="182" t="s">
        <v>200</v>
      </c>
      <c r="AC11" s="48"/>
      <c r="AD11" s="39"/>
      <c r="AE11" s="39"/>
      <c r="AF11" s="39"/>
      <c r="AH11" s="47"/>
      <c r="AV11" s="156"/>
    </row>
    <row r="12" spans="1:48" ht="31.5" x14ac:dyDescent="0.5">
      <c r="A12" s="6"/>
      <c r="B12" s="22" t="s">
        <v>29</v>
      </c>
      <c r="C12" s="6"/>
      <c r="D12" s="6"/>
      <c r="E12" s="6"/>
      <c r="F12" s="6"/>
      <c r="G12" s="6"/>
      <c r="H12" s="6"/>
      <c r="I12" s="6"/>
      <c r="J12" s="41"/>
      <c r="R12" s="42" t="s">
        <v>130</v>
      </c>
      <c r="S12" s="6"/>
      <c r="T12" s="104"/>
      <c r="U12" s="119">
        <f>'Daten Auswertung'!E18</f>
        <v>5760</v>
      </c>
      <c r="W12" s="183" t="str">
        <f>"-6,49 °C/km"</f>
        <v>-6,49 °C/km</v>
      </c>
      <c r="AC12" s="48"/>
      <c r="AD12" s="39"/>
      <c r="AE12" s="39"/>
      <c r="AF12" s="39"/>
      <c r="AH12" s="47"/>
      <c r="AV12" s="156"/>
    </row>
    <row r="13" spans="1:48" ht="18.75" x14ac:dyDescent="0.25">
      <c r="A13" s="6"/>
      <c r="B13" s="22" t="s">
        <v>30</v>
      </c>
      <c r="C13" s="6"/>
      <c r="D13" s="6"/>
      <c r="E13" s="6"/>
      <c r="F13" s="6"/>
      <c r="G13" s="6"/>
      <c r="H13" s="6"/>
      <c r="I13" s="6"/>
      <c r="J13" s="41"/>
      <c r="N13" s="157"/>
      <c r="O13" s="9"/>
    </row>
    <row r="14" spans="1:48" x14ac:dyDescent="0.25">
      <c r="A14" s="6"/>
      <c r="B14" s="16" t="s">
        <v>22</v>
      </c>
      <c r="C14" s="6"/>
      <c r="D14" s="6"/>
      <c r="E14" s="6"/>
      <c r="F14" s="6"/>
      <c r="G14" s="6"/>
      <c r="H14" s="6"/>
      <c r="I14" s="6"/>
      <c r="J14" s="41"/>
      <c r="N14" s="9"/>
      <c r="O14" s="9"/>
    </row>
    <row r="15" spans="1:48" ht="23.25" x14ac:dyDescent="0.3">
      <c r="A15" s="7" t="s">
        <v>5</v>
      </c>
      <c r="B15" s="184" t="s">
        <v>201</v>
      </c>
      <c r="I15" s="6"/>
      <c r="J15" s="41"/>
      <c r="M15" s="4"/>
    </row>
    <row r="16" spans="1:48" x14ac:dyDescent="0.25">
      <c r="A16" s="6"/>
      <c r="B16" s="185"/>
      <c r="I16" s="6"/>
      <c r="J16" s="41"/>
    </row>
    <row r="17" spans="1:20" x14ac:dyDescent="0.25">
      <c r="A17" s="6"/>
      <c r="B17" s="186" t="s">
        <v>14</v>
      </c>
      <c r="I17" s="6"/>
      <c r="J17" s="41"/>
    </row>
    <row r="18" spans="1:20" x14ac:dyDescent="0.25">
      <c r="A18" s="6"/>
      <c r="B18" s="186" t="s">
        <v>21</v>
      </c>
      <c r="I18" s="6"/>
      <c r="J18" s="41"/>
    </row>
    <row r="19" spans="1:20" ht="22.5" x14ac:dyDescent="0.25">
      <c r="A19" s="5"/>
      <c r="B19" s="186" t="s">
        <v>6</v>
      </c>
      <c r="I19" s="6"/>
      <c r="J19" s="41"/>
    </row>
    <row r="20" spans="1:20" x14ac:dyDescent="0.25">
      <c r="A20" s="7"/>
      <c r="B20" s="186" t="s">
        <v>14</v>
      </c>
      <c r="I20" s="6"/>
      <c r="J20" s="41"/>
    </row>
    <row r="21" spans="1:20" x14ac:dyDescent="0.25">
      <c r="A21" s="15"/>
      <c r="B21" s="186" t="s">
        <v>202</v>
      </c>
      <c r="I21" s="6"/>
      <c r="J21" s="41"/>
      <c r="M21" s="11"/>
      <c r="N21" s="12"/>
      <c r="O21" s="11"/>
      <c r="P21" s="11"/>
      <c r="Q21" s="11"/>
      <c r="R21" s="11"/>
      <c r="S21" s="11"/>
      <c r="T21" s="11"/>
    </row>
    <row r="22" spans="1:20" x14ac:dyDescent="0.25">
      <c r="A22" s="8"/>
      <c r="B22" s="186" t="s">
        <v>203</v>
      </c>
      <c r="I22" s="6"/>
      <c r="J22" s="41"/>
      <c r="M22" s="11"/>
      <c r="N22" s="11"/>
      <c r="O22" s="11"/>
      <c r="P22" s="11"/>
      <c r="Q22" s="11"/>
      <c r="R22" s="11"/>
      <c r="S22" s="11"/>
      <c r="T22" s="11"/>
    </row>
    <row r="23" spans="1:20" x14ac:dyDescent="0.25">
      <c r="A23" s="8"/>
      <c r="B23" s="186" t="s">
        <v>204</v>
      </c>
      <c r="I23" s="6"/>
      <c r="J23" s="41"/>
      <c r="M23" s="11"/>
      <c r="N23" s="11"/>
      <c r="O23" s="11"/>
      <c r="P23" s="11"/>
      <c r="Q23" s="11"/>
      <c r="R23" s="11"/>
      <c r="S23" s="11"/>
      <c r="T23" s="11"/>
    </row>
    <row r="24" spans="1:20" x14ac:dyDescent="0.25">
      <c r="A24" s="8"/>
      <c r="B24" s="186" t="s">
        <v>205</v>
      </c>
      <c r="I24" s="6"/>
      <c r="J24" s="41"/>
      <c r="M24" s="11"/>
      <c r="N24" s="11"/>
      <c r="O24" s="11"/>
      <c r="P24" s="11"/>
      <c r="Q24" s="11"/>
      <c r="R24" s="11"/>
      <c r="S24" s="11"/>
      <c r="T24" s="11"/>
    </row>
    <row r="25" spans="1:20" x14ac:dyDescent="0.25">
      <c r="A25" s="8"/>
      <c r="B25" s="186" t="s">
        <v>206</v>
      </c>
      <c r="I25" s="6"/>
      <c r="J25" s="41"/>
      <c r="M25" s="11"/>
      <c r="N25" s="11"/>
      <c r="O25" s="11"/>
      <c r="P25" s="11"/>
      <c r="Q25" s="11"/>
      <c r="R25" s="11"/>
      <c r="S25" s="11"/>
      <c r="T25" s="11"/>
    </row>
    <row r="26" spans="1:20" x14ac:dyDescent="0.25">
      <c r="A26" s="8"/>
      <c r="B26" s="186" t="s">
        <v>207</v>
      </c>
      <c r="I26" s="6"/>
      <c r="J26" s="41"/>
      <c r="M26" s="11"/>
      <c r="N26" s="11"/>
      <c r="O26" s="11"/>
      <c r="P26" s="11"/>
      <c r="Q26" s="11"/>
      <c r="R26" s="11"/>
      <c r="S26" s="11"/>
      <c r="T26" s="11"/>
    </row>
    <row r="27" spans="1:20" x14ac:dyDescent="0.25">
      <c r="A27" s="8"/>
      <c r="B27" s="186" t="s">
        <v>208</v>
      </c>
      <c r="I27" s="6"/>
      <c r="J27" s="41"/>
      <c r="M27" s="11"/>
      <c r="N27" s="11"/>
      <c r="O27" s="11"/>
      <c r="P27" s="11"/>
      <c r="Q27" s="11"/>
      <c r="R27" s="11"/>
      <c r="S27" s="11"/>
      <c r="T27" s="11"/>
    </row>
    <row r="28" spans="1:20" x14ac:dyDescent="0.25">
      <c r="A28" s="8"/>
      <c r="B28" s="186" t="s">
        <v>209</v>
      </c>
      <c r="I28" s="6"/>
      <c r="J28" s="41"/>
      <c r="M28" s="11"/>
      <c r="N28" s="11"/>
      <c r="O28" s="11"/>
      <c r="P28" s="11"/>
      <c r="Q28" s="11"/>
      <c r="R28" s="11"/>
      <c r="S28" s="11"/>
      <c r="T28" s="11"/>
    </row>
    <row r="29" spans="1:20" x14ac:dyDescent="0.25">
      <c r="A29" s="8"/>
      <c r="B29" s="186" t="s">
        <v>210</v>
      </c>
      <c r="I29" s="6"/>
      <c r="J29" s="41"/>
      <c r="M29" s="11"/>
      <c r="N29" s="11"/>
      <c r="O29" s="11"/>
      <c r="P29" s="11"/>
      <c r="Q29" s="11"/>
      <c r="R29" s="11"/>
      <c r="S29" s="11"/>
      <c r="T29" s="11"/>
    </row>
    <row r="30" spans="1:20" x14ac:dyDescent="0.25">
      <c r="A30" s="8"/>
      <c r="B30" s="186" t="s">
        <v>211</v>
      </c>
      <c r="I30" s="6"/>
      <c r="J30" s="41"/>
      <c r="M30" s="11"/>
      <c r="N30" s="11"/>
      <c r="O30" s="11"/>
      <c r="P30" s="11"/>
      <c r="Q30" s="11"/>
      <c r="R30" s="11"/>
      <c r="S30" s="11"/>
      <c r="T30" s="11"/>
    </row>
    <row r="31" spans="1:20" x14ac:dyDescent="0.25">
      <c r="A31" s="8"/>
      <c r="B31" s="186" t="s">
        <v>212</v>
      </c>
      <c r="I31" s="6"/>
      <c r="J31" s="41"/>
      <c r="M31" s="11"/>
      <c r="N31" s="11"/>
      <c r="O31" s="11"/>
      <c r="P31" s="11"/>
      <c r="Q31" s="11"/>
      <c r="R31" s="11"/>
      <c r="S31" s="11"/>
      <c r="T31" s="11"/>
    </row>
    <row r="32" spans="1:20" x14ac:dyDescent="0.25">
      <c r="A32" s="8"/>
      <c r="B32" s="186" t="s">
        <v>213</v>
      </c>
      <c r="I32" s="6"/>
      <c r="J32" s="41"/>
      <c r="M32" s="11"/>
      <c r="N32" s="11"/>
      <c r="O32" s="11"/>
      <c r="P32" s="11"/>
      <c r="Q32" s="11"/>
      <c r="R32" s="11"/>
      <c r="S32" s="11"/>
      <c r="T32" s="11"/>
    </row>
    <row r="33" spans="1:20" x14ac:dyDescent="0.25">
      <c r="A33" s="8"/>
      <c r="B33" s="186" t="s">
        <v>214</v>
      </c>
      <c r="I33" s="6"/>
      <c r="J33" s="41"/>
      <c r="M33" s="11"/>
      <c r="N33" s="11"/>
      <c r="O33" s="11"/>
      <c r="P33" s="11"/>
      <c r="Q33" s="11"/>
      <c r="R33" s="11"/>
      <c r="S33" s="11"/>
      <c r="T33" s="11"/>
    </row>
    <row r="34" spans="1:20" x14ac:dyDescent="0.25">
      <c r="A34" s="8"/>
      <c r="B34" s="186" t="s">
        <v>215</v>
      </c>
      <c r="I34" s="6"/>
      <c r="J34" s="41"/>
      <c r="M34" s="11"/>
      <c r="N34" s="11"/>
      <c r="O34" s="11"/>
      <c r="P34" s="11"/>
      <c r="Q34" s="11"/>
      <c r="R34" s="11"/>
      <c r="S34" s="11"/>
      <c r="T34" s="11"/>
    </row>
    <row r="35" spans="1:20" x14ac:dyDescent="0.25">
      <c r="A35" s="8"/>
      <c r="B35" s="186" t="s">
        <v>216</v>
      </c>
      <c r="I35" s="6"/>
      <c r="J35" s="41"/>
      <c r="M35" s="11"/>
      <c r="N35" s="11"/>
      <c r="O35" s="11"/>
      <c r="P35" s="11"/>
      <c r="Q35" s="11"/>
      <c r="R35" s="11"/>
      <c r="S35" s="11"/>
      <c r="T35" s="11"/>
    </row>
    <row r="36" spans="1:20" x14ac:dyDescent="0.25">
      <c r="A36" s="8"/>
      <c r="B36" s="186" t="s">
        <v>217</v>
      </c>
      <c r="I36" s="6"/>
      <c r="J36" s="41"/>
      <c r="M36" s="11"/>
      <c r="N36" s="11"/>
      <c r="O36" s="11"/>
      <c r="P36" s="11"/>
      <c r="Q36" s="11"/>
      <c r="R36" s="11"/>
      <c r="S36" s="11"/>
      <c r="T36" s="11"/>
    </row>
    <row r="37" spans="1:20" x14ac:dyDescent="0.25">
      <c r="A37" s="8"/>
      <c r="B37" s="186" t="s">
        <v>218</v>
      </c>
      <c r="I37" s="6"/>
      <c r="J37" s="41"/>
      <c r="M37" s="11"/>
      <c r="N37" s="11"/>
      <c r="O37" s="11"/>
      <c r="P37" s="11"/>
      <c r="Q37" s="11"/>
      <c r="R37" s="11"/>
      <c r="S37" s="11"/>
      <c r="T37" s="11"/>
    </row>
    <row r="38" spans="1:20" x14ac:dyDescent="0.25">
      <c r="A38" s="8"/>
      <c r="B38" s="186" t="s">
        <v>219</v>
      </c>
      <c r="I38" s="6"/>
      <c r="J38" s="41"/>
      <c r="M38" s="11"/>
      <c r="N38" s="11"/>
      <c r="O38" s="11"/>
      <c r="P38" s="11"/>
      <c r="Q38" s="11"/>
      <c r="R38" s="11"/>
      <c r="S38" s="11"/>
      <c r="T38" s="11"/>
    </row>
    <row r="39" spans="1:20" x14ac:dyDescent="0.25">
      <c r="A39" s="8"/>
      <c r="B39" s="186" t="s">
        <v>220</v>
      </c>
      <c r="I39" s="6"/>
      <c r="J39" s="41"/>
      <c r="M39" s="11"/>
      <c r="N39" s="11"/>
      <c r="O39" s="11"/>
      <c r="P39" s="11"/>
      <c r="Q39" s="11"/>
      <c r="R39" s="11"/>
      <c r="S39" s="11"/>
      <c r="T39" s="11"/>
    </row>
    <row r="40" spans="1:20" x14ac:dyDescent="0.25">
      <c r="A40" s="8"/>
      <c r="B40" s="186" t="s">
        <v>221</v>
      </c>
      <c r="I40" s="6"/>
      <c r="J40" s="41"/>
      <c r="M40" s="11"/>
      <c r="N40" s="11"/>
      <c r="O40" s="11"/>
      <c r="P40" s="11"/>
      <c r="Q40" s="11"/>
      <c r="R40" s="11"/>
      <c r="S40" s="11"/>
      <c r="T40" s="11"/>
    </row>
    <row r="41" spans="1:20" x14ac:dyDescent="0.25">
      <c r="A41" s="8"/>
      <c r="B41" s="186" t="s">
        <v>222</v>
      </c>
      <c r="I41" s="6"/>
      <c r="J41" s="41"/>
      <c r="M41" s="11"/>
      <c r="N41" s="11"/>
      <c r="O41" s="11"/>
      <c r="P41" s="11"/>
      <c r="Q41" s="11"/>
      <c r="R41" s="11"/>
      <c r="S41" s="11"/>
      <c r="T41" s="11"/>
    </row>
    <row r="42" spans="1:20" x14ac:dyDescent="0.25">
      <c r="A42" s="8"/>
      <c r="B42" s="186" t="s">
        <v>223</v>
      </c>
      <c r="I42" s="6"/>
      <c r="J42" s="41"/>
      <c r="M42" s="11"/>
      <c r="N42" s="11"/>
      <c r="O42" s="11"/>
      <c r="P42" s="11"/>
      <c r="Q42" s="11"/>
      <c r="R42" s="11"/>
      <c r="S42" s="11"/>
      <c r="T42" s="11"/>
    </row>
    <row r="43" spans="1:20" x14ac:dyDescent="0.25">
      <c r="A43" s="8"/>
      <c r="B43" s="186" t="s">
        <v>224</v>
      </c>
      <c r="I43" s="6"/>
      <c r="J43" s="41"/>
      <c r="M43" s="11"/>
      <c r="N43" s="11"/>
      <c r="O43" s="11"/>
      <c r="P43" s="11"/>
      <c r="Q43" s="11"/>
      <c r="R43" s="11"/>
      <c r="S43" s="11"/>
      <c r="T43" s="11"/>
    </row>
    <row r="44" spans="1:20" x14ac:dyDescent="0.25">
      <c r="A44" s="8"/>
      <c r="B44" s="186" t="s">
        <v>225</v>
      </c>
      <c r="I44" s="6"/>
      <c r="J44" s="41"/>
      <c r="M44" s="11"/>
      <c r="N44" s="11"/>
      <c r="O44" s="11"/>
      <c r="P44" s="11"/>
      <c r="Q44" s="11"/>
      <c r="R44" s="11"/>
      <c r="S44" s="11"/>
      <c r="T44" s="11"/>
    </row>
    <row r="45" spans="1:20" x14ac:dyDescent="0.25">
      <c r="A45" s="8"/>
      <c r="B45" s="186" t="s">
        <v>226</v>
      </c>
      <c r="I45" s="6"/>
      <c r="J45" s="41"/>
      <c r="M45" s="11"/>
      <c r="N45" s="11"/>
      <c r="O45" s="11"/>
      <c r="P45" s="11"/>
      <c r="Q45" s="11"/>
      <c r="R45" s="11"/>
      <c r="S45" s="11"/>
      <c r="T45" s="11"/>
    </row>
    <row r="46" spans="1:20" x14ac:dyDescent="0.25">
      <c r="A46" s="8"/>
      <c r="B46" s="186" t="s">
        <v>227</v>
      </c>
      <c r="I46" s="6"/>
      <c r="J46" s="41"/>
      <c r="M46" s="11"/>
      <c r="N46" s="11"/>
      <c r="O46" s="11"/>
      <c r="P46" s="11"/>
      <c r="Q46" s="11"/>
      <c r="R46" s="11"/>
      <c r="S46" s="11"/>
      <c r="T46" s="11"/>
    </row>
    <row r="47" spans="1:20" x14ac:dyDescent="0.25">
      <c r="A47" s="8"/>
      <c r="B47" s="186" t="s">
        <v>228</v>
      </c>
      <c r="I47" s="6"/>
      <c r="J47" s="41"/>
      <c r="M47" s="11"/>
      <c r="N47" s="11"/>
      <c r="O47" s="11"/>
      <c r="P47" s="11"/>
      <c r="Q47" s="11"/>
      <c r="R47" s="11"/>
      <c r="S47" s="11"/>
      <c r="T47" s="11"/>
    </row>
    <row r="48" spans="1:20" x14ac:dyDescent="0.25">
      <c r="A48" s="8"/>
      <c r="B48" s="186" t="s">
        <v>229</v>
      </c>
      <c r="I48" s="6"/>
      <c r="J48" s="41"/>
      <c r="M48" s="11"/>
      <c r="N48" s="11"/>
      <c r="O48" s="11"/>
      <c r="P48" s="11"/>
      <c r="Q48" s="11"/>
      <c r="R48" s="11"/>
      <c r="S48" s="11"/>
      <c r="T48" s="11"/>
    </row>
    <row r="49" spans="1:20" x14ac:dyDescent="0.25">
      <c r="A49" s="8"/>
      <c r="B49" s="186" t="s">
        <v>230</v>
      </c>
      <c r="I49" s="6"/>
      <c r="J49" s="41"/>
      <c r="M49" s="11"/>
      <c r="N49" s="11"/>
      <c r="O49" s="11"/>
      <c r="P49" s="11"/>
      <c r="Q49" s="11"/>
      <c r="R49" s="11"/>
      <c r="S49" s="11"/>
      <c r="T49" s="11"/>
    </row>
    <row r="50" spans="1:20" x14ac:dyDescent="0.25">
      <c r="A50" s="8"/>
      <c r="B50" s="186" t="s">
        <v>231</v>
      </c>
      <c r="I50" s="6"/>
      <c r="J50" s="41"/>
      <c r="M50" s="11"/>
      <c r="N50" s="11"/>
      <c r="O50" s="11"/>
      <c r="P50" s="11"/>
      <c r="Q50" s="11"/>
      <c r="R50" s="11"/>
      <c r="S50" s="11"/>
      <c r="T50" s="11"/>
    </row>
    <row r="51" spans="1:20" x14ac:dyDescent="0.25">
      <c r="A51" s="8"/>
      <c r="B51" s="186" t="s">
        <v>232</v>
      </c>
      <c r="I51" s="6"/>
      <c r="J51" s="41"/>
      <c r="M51" s="11"/>
      <c r="N51" s="11"/>
      <c r="O51" s="11"/>
      <c r="P51" s="11"/>
      <c r="Q51" s="11"/>
      <c r="R51" s="11"/>
      <c r="S51" s="11"/>
      <c r="T51" s="11"/>
    </row>
    <row r="52" spans="1:20" x14ac:dyDescent="0.25">
      <c r="A52" s="8"/>
      <c r="B52" s="186" t="s">
        <v>233</v>
      </c>
      <c r="I52" s="6"/>
      <c r="J52" s="41"/>
      <c r="M52" s="11"/>
      <c r="N52" s="11"/>
      <c r="O52" s="11"/>
      <c r="P52" s="11"/>
      <c r="Q52" s="11"/>
      <c r="R52" s="11"/>
      <c r="S52" s="11"/>
      <c r="T52" s="11"/>
    </row>
    <row r="53" spans="1:20" x14ac:dyDescent="0.25">
      <c r="A53" s="8"/>
      <c r="B53" s="186" t="s">
        <v>234</v>
      </c>
      <c r="I53" s="6"/>
      <c r="J53" s="41"/>
      <c r="M53" s="11"/>
      <c r="N53" s="11"/>
      <c r="O53" s="11"/>
      <c r="P53" s="11"/>
      <c r="Q53" s="11"/>
      <c r="R53" s="11"/>
      <c r="S53" s="11"/>
      <c r="T53" s="11"/>
    </row>
    <row r="54" spans="1:20" x14ac:dyDescent="0.25">
      <c r="A54" s="8"/>
      <c r="B54" s="186" t="s">
        <v>235</v>
      </c>
      <c r="I54" s="6"/>
      <c r="J54" s="41"/>
      <c r="M54" s="11"/>
      <c r="N54" s="11"/>
      <c r="O54" s="11"/>
      <c r="P54" s="11"/>
      <c r="Q54" s="11"/>
      <c r="R54" s="11"/>
      <c r="S54" s="11"/>
      <c r="T54" s="11"/>
    </row>
    <row r="55" spans="1:20" x14ac:dyDescent="0.25">
      <c r="A55" s="8"/>
      <c r="B55" s="186" t="s">
        <v>236</v>
      </c>
      <c r="I55" s="6"/>
      <c r="J55" s="41"/>
      <c r="M55" s="11"/>
      <c r="N55" s="11"/>
      <c r="O55" s="11"/>
      <c r="P55" s="11"/>
      <c r="Q55" s="11"/>
      <c r="R55" s="11"/>
      <c r="S55" s="11"/>
      <c r="T55" s="11"/>
    </row>
    <row r="56" spans="1:20" x14ac:dyDescent="0.25">
      <c r="A56" s="8"/>
      <c r="B56" s="186" t="s">
        <v>237</v>
      </c>
      <c r="I56" s="6"/>
      <c r="J56" s="41"/>
      <c r="M56" s="11"/>
      <c r="N56" s="11"/>
      <c r="O56" s="11"/>
      <c r="P56" s="11"/>
      <c r="Q56" s="11"/>
      <c r="R56" s="11"/>
      <c r="S56" s="11"/>
      <c r="T56" s="11"/>
    </row>
    <row r="57" spans="1:20" x14ac:dyDescent="0.25">
      <c r="A57" s="8"/>
      <c r="B57" s="186" t="s">
        <v>238</v>
      </c>
      <c r="I57" s="6"/>
      <c r="J57" s="41"/>
      <c r="M57" s="11"/>
      <c r="N57" s="11"/>
      <c r="O57" s="11"/>
      <c r="P57" s="11"/>
      <c r="Q57" s="11"/>
      <c r="R57" s="11"/>
      <c r="S57" s="11"/>
      <c r="T57" s="11"/>
    </row>
    <row r="58" spans="1:20" x14ac:dyDescent="0.25">
      <c r="A58" s="8"/>
      <c r="B58" s="186" t="s">
        <v>239</v>
      </c>
      <c r="I58" s="6"/>
      <c r="J58" s="41"/>
      <c r="M58" s="11"/>
      <c r="N58" s="11"/>
      <c r="O58" s="11"/>
      <c r="P58" s="11"/>
      <c r="Q58" s="11"/>
      <c r="R58" s="11"/>
      <c r="S58" s="11"/>
      <c r="T58" s="11"/>
    </row>
    <row r="59" spans="1:20" x14ac:dyDescent="0.25">
      <c r="A59" s="8"/>
      <c r="B59" s="186" t="s">
        <v>240</v>
      </c>
      <c r="I59" s="6"/>
      <c r="J59" s="41"/>
      <c r="M59" s="11"/>
      <c r="N59" s="11"/>
      <c r="O59" s="11"/>
      <c r="P59" s="11"/>
      <c r="Q59" s="11"/>
      <c r="R59" s="11"/>
      <c r="S59" s="11"/>
      <c r="T59" s="11"/>
    </row>
    <row r="60" spans="1:20" x14ac:dyDescent="0.25">
      <c r="A60" s="8"/>
      <c r="B60" s="186" t="s">
        <v>241</v>
      </c>
      <c r="I60" s="6"/>
      <c r="J60" s="41"/>
      <c r="M60" s="11"/>
      <c r="N60" s="11"/>
      <c r="O60" s="11"/>
      <c r="P60" s="11"/>
      <c r="Q60" s="11"/>
      <c r="R60" s="11"/>
      <c r="S60" s="11"/>
      <c r="T60" s="11"/>
    </row>
    <row r="61" spans="1:20" x14ac:dyDescent="0.25">
      <c r="A61" s="8"/>
      <c r="B61" s="186" t="s">
        <v>242</v>
      </c>
      <c r="I61" s="6"/>
      <c r="J61" s="41"/>
      <c r="M61" s="11"/>
      <c r="N61" s="11"/>
      <c r="O61" s="11"/>
      <c r="P61" s="11"/>
      <c r="Q61" s="11"/>
      <c r="R61" s="11"/>
      <c r="S61" s="11"/>
      <c r="T61" s="11"/>
    </row>
    <row r="62" spans="1:20" x14ac:dyDescent="0.25">
      <c r="A62" s="8"/>
      <c r="B62" s="186" t="s">
        <v>243</v>
      </c>
      <c r="I62" s="6"/>
      <c r="J62" s="41"/>
      <c r="M62" s="11"/>
      <c r="N62" s="11"/>
      <c r="O62" s="11"/>
      <c r="P62" s="11"/>
      <c r="Q62" s="11"/>
      <c r="R62" s="11"/>
      <c r="S62" s="11"/>
      <c r="T62" s="11"/>
    </row>
    <row r="63" spans="1:20" x14ac:dyDescent="0.25">
      <c r="A63" s="8"/>
      <c r="B63" s="186" t="s">
        <v>244</v>
      </c>
      <c r="I63" s="6"/>
      <c r="J63" s="41"/>
      <c r="M63" s="11"/>
      <c r="N63" s="11"/>
      <c r="O63" s="11"/>
      <c r="P63" s="11"/>
      <c r="Q63" s="11"/>
      <c r="R63" s="11"/>
      <c r="S63" s="11"/>
      <c r="T63" s="11"/>
    </row>
    <row r="64" spans="1:20" x14ac:dyDescent="0.25">
      <c r="A64" s="8"/>
      <c r="B64" s="186" t="s">
        <v>245</v>
      </c>
      <c r="I64" s="6"/>
      <c r="J64" s="41"/>
      <c r="M64" s="11"/>
      <c r="N64" s="11"/>
      <c r="O64" s="11"/>
      <c r="P64" s="11"/>
      <c r="Q64" s="11"/>
      <c r="R64" s="11"/>
      <c r="S64" s="11"/>
      <c r="T64" s="11"/>
    </row>
    <row r="65" spans="1:20" x14ac:dyDescent="0.25">
      <c r="A65" s="8"/>
      <c r="B65" s="186" t="s">
        <v>246</v>
      </c>
      <c r="I65" s="6"/>
      <c r="J65" s="41"/>
      <c r="M65" s="11"/>
      <c r="N65" s="11"/>
      <c r="O65" s="11"/>
      <c r="P65" s="11"/>
      <c r="Q65" s="11"/>
      <c r="R65" s="11"/>
      <c r="S65" s="11"/>
      <c r="T65" s="11"/>
    </row>
    <row r="66" spans="1:20" x14ac:dyDescent="0.25">
      <c r="A66" s="8"/>
      <c r="B66" s="186" t="s">
        <v>247</v>
      </c>
      <c r="I66" s="6"/>
      <c r="J66" s="41"/>
      <c r="M66" s="11"/>
      <c r="N66" s="11"/>
      <c r="O66" s="11"/>
      <c r="P66" s="11"/>
      <c r="Q66" s="11"/>
      <c r="R66" s="11"/>
      <c r="S66" s="11"/>
      <c r="T66" s="11"/>
    </row>
    <row r="67" spans="1:20" x14ac:dyDescent="0.25">
      <c r="A67" s="8"/>
      <c r="B67" s="186" t="s">
        <v>248</v>
      </c>
      <c r="I67" s="6"/>
      <c r="J67" s="41"/>
      <c r="M67" s="11"/>
      <c r="N67" s="11"/>
      <c r="O67" s="11"/>
      <c r="P67" s="11"/>
      <c r="Q67" s="11"/>
      <c r="R67" s="11"/>
      <c r="S67" s="11"/>
      <c r="T67" s="11"/>
    </row>
    <row r="68" spans="1:20" x14ac:dyDescent="0.25">
      <c r="A68" s="8"/>
      <c r="B68" s="186" t="s">
        <v>249</v>
      </c>
      <c r="I68" s="6"/>
      <c r="J68" s="41"/>
      <c r="M68" s="11"/>
      <c r="N68" s="11"/>
      <c r="O68" s="11"/>
      <c r="P68" s="11"/>
      <c r="Q68" s="11"/>
      <c r="R68" s="11"/>
      <c r="S68" s="11"/>
      <c r="T68" s="11"/>
    </row>
    <row r="69" spans="1:20" x14ac:dyDescent="0.25">
      <c r="A69" s="8"/>
      <c r="B69" s="186" t="s">
        <v>250</v>
      </c>
      <c r="I69" s="6"/>
      <c r="J69" s="41"/>
      <c r="M69" s="11"/>
      <c r="N69" s="11"/>
      <c r="O69" s="11"/>
      <c r="P69" s="11"/>
      <c r="Q69" s="11"/>
      <c r="R69" s="11"/>
      <c r="S69" s="11"/>
      <c r="T69" s="11"/>
    </row>
    <row r="70" spans="1:20" x14ac:dyDescent="0.25">
      <c r="A70" s="8"/>
      <c r="B70" s="186" t="s">
        <v>251</v>
      </c>
      <c r="I70" s="6"/>
      <c r="J70" s="41"/>
      <c r="M70" s="11"/>
      <c r="N70" s="11"/>
      <c r="O70" s="11"/>
      <c r="P70" s="11"/>
      <c r="Q70" s="11"/>
      <c r="R70" s="11"/>
      <c r="S70" s="11"/>
      <c r="T70" s="11"/>
    </row>
    <row r="71" spans="1:20" x14ac:dyDescent="0.25">
      <c r="A71" s="8"/>
      <c r="B71" s="186" t="s">
        <v>252</v>
      </c>
      <c r="I71" s="6"/>
      <c r="J71" s="41"/>
      <c r="M71" s="11"/>
      <c r="N71" s="11"/>
      <c r="O71" s="11"/>
      <c r="P71" s="11"/>
      <c r="Q71" s="11"/>
      <c r="R71" s="11"/>
      <c r="S71" s="11"/>
      <c r="T71" s="11"/>
    </row>
    <row r="72" spans="1:20" x14ac:dyDescent="0.25">
      <c r="A72" s="8"/>
      <c r="B72" s="186" t="s">
        <v>253</v>
      </c>
      <c r="I72" s="6"/>
      <c r="J72" s="41"/>
      <c r="M72" s="11"/>
      <c r="N72" s="11"/>
      <c r="O72" s="11"/>
      <c r="P72" s="11"/>
      <c r="Q72" s="11"/>
      <c r="R72" s="11"/>
      <c r="S72" s="11"/>
      <c r="T72" s="11"/>
    </row>
    <row r="73" spans="1:20" x14ac:dyDescent="0.25">
      <c r="A73" s="8"/>
      <c r="B73" s="186" t="s">
        <v>254</v>
      </c>
      <c r="I73" s="6"/>
      <c r="J73" s="41"/>
      <c r="M73" s="11"/>
      <c r="N73" s="11"/>
      <c r="O73" s="11"/>
      <c r="P73" s="11"/>
      <c r="Q73" s="11"/>
      <c r="R73" s="11"/>
      <c r="S73" s="11"/>
      <c r="T73" s="11"/>
    </row>
    <row r="74" spans="1:20" x14ac:dyDescent="0.25">
      <c r="A74" s="8"/>
      <c r="B74" s="186" t="s">
        <v>255</v>
      </c>
      <c r="I74" s="6"/>
      <c r="J74" s="41"/>
      <c r="M74" s="11"/>
      <c r="N74" s="11"/>
      <c r="O74" s="11"/>
      <c r="P74" s="11"/>
      <c r="Q74" s="11"/>
      <c r="R74" s="11"/>
      <c r="S74" s="11"/>
      <c r="T74" s="11"/>
    </row>
    <row r="75" spans="1:20" x14ac:dyDescent="0.25">
      <c r="A75" s="8"/>
      <c r="B75" s="186" t="s">
        <v>256</v>
      </c>
      <c r="I75" s="6"/>
      <c r="J75" s="41"/>
      <c r="M75" s="11"/>
      <c r="N75" s="11"/>
      <c r="O75" s="11"/>
      <c r="P75" s="11"/>
      <c r="Q75" s="11"/>
      <c r="R75" s="11"/>
      <c r="S75" s="11"/>
      <c r="T75" s="11"/>
    </row>
    <row r="76" spans="1:20" x14ac:dyDescent="0.25">
      <c r="A76" s="8"/>
      <c r="B76" s="186" t="s">
        <v>257</v>
      </c>
      <c r="I76" s="6"/>
      <c r="J76" s="41"/>
      <c r="M76" s="11"/>
      <c r="N76" s="11"/>
      <c r="O76" s="11"/>
      <c r="P76" s="11"/>
      <c r="Q76" s="11"/>
      <c r="R76" s="11"/>
      <c r="S76" s="11"/>
      <c r="T76" s="11"/>
    </row>
    <row r="77" spans="1:20" x14ac:dyDescent="0.25">
      <c r="A77" s="8"/>
      <c r="B77" s="186" t="s">
        <v>258</v>
      </c>
      <c r="I77" s="6"/>
      <c r="J77" s="41"/>
      <c r="M77" s="11"/>
      <c r="N77" s="11"/>
      <c r="O77" s="11"/>
      <c r="P77" s="11"/>
      <c r="Q77" s="11"/>
      <c r="R77" s="11"/>
      <c r="S77" s="11"/>
      <c r="T77" s="11"/>
    </row>
    <row r="78" spans="1:20" x14ac:dyDescent="0.25">
      <c r="A78" s="8"/>
      <c r="B78" s="186" t="s">
        <v>259</v>
      </c>
      <c r="I78" s="6"/>
      <c r="J78" s="41"/>
      <c r="M78" s="11"/>
      <c r="N78" s="11"/>
      <c r="O78" s="11"/>
      <c r="P78" s="11"/>
      <c r="Q78" s="11"/>
      <c r="R78" s="11"/>
      <c r="S78" s="11"/>
      <c r="T78" s="11"/>
    </row>
    <row r="79" spans="1:20" x14ac:dyDescent="0.25">
      <c r="A79" s="8"/>
      <c r="B79" s="186" t="s">
        <v>260</v>
      </c>
      <c r="I79" s="6"/>
      <c r="J79" s="41"/>
      <c r="M79" s="11"/>
      <c r="N79" s="11"/>
      <c r="O79" s="11"/>
      <c r="P79" s="11"/>
      <c r="Q79" s="11"/>
      <c r="R79" s="11"/>
      <c r="S79" s="11"/>
      <c r="T79" s="11"/>
    </row>
    <row r="80" spans="1:20" x14ac:dyDescent="0.25">
      <c r="A80" s="8"/>
      <c r="B80" s="186" t="s">
        <v>261</v>
      </c>
      <c r="I80" s="6"/>
      <c r="J80" s="41"/>
      <c r="M80" s="11"/>
      <c r="N80" s="11"/>
      <c r="O80" s="11"/>
      <c r="P80" s="11"/>
      <c r="Q80" s="11"/>
      <c r="R80" s="11"/>
      <c r="S80" s="11"/>
      <c r="T80" s="11"/>
    </row>
    <row r="81" spans="1:20" x14ac:dyDescent="0.25">
      <c r="A81" s="8"/>
      <c r="B81" s="186" t="s">
        <v>262</v>
      </c>
      <c r="I81" s="6"/>
      <c r="J81" s="41"/>
      <c r="M81" s="11"/>
      <c r="N81" s="11"/>
      <c r="O81" s="11"/>
      <c r="P81" s="11"/>
      <c r="Q81" s="11"/>
      <c r="R81" s="11"/>
      <c r="S81" s="11"/>
      <c r="T81" s="11"/>
    </row>
    <row r="82" spans="1:20" x14ac:dyDescent="0.25">
      <c r="A82" s="8"/>
      <c r="B82" s="186" t="s">
        <v>263</v>
      </c>
      <c r="I82" s="6"/>
      <c r="J82" s="41"/>
      <c r="M82" s="11"/>
      <c r="N82" s="11"/>
      <c r="O82" s="11"/>
      <c r="P82" s="11"/>
      <c r="Q82" s="11"/>
      <c r="R82" s="11"/>
      <c r="S82" s="11"/>
      <c r="T82" s="11"/>
    </row>
    <row r="83" spans="1:20" x14ac:dyDescent="0.25">
      <c r="A83" s="8"/>
      <c r="B83" s="186" t="s">
        <v>264</v>
      </c>
      <c r="I83" s="6"/>
      <c r="J83" s="41"/>
      <c r="M83" s="11"/>
      <c r="N83" s="11"/>
      <c r="O83" s="11"/>
      <c r="P83" s="11"/>
      <c r="Q83" s="11"/>
      <c r="R83" s="11"/>
      <c r="S83" s="11"/>
      <c r="T83" s="11"/>
    </row>
    <row r="84" spans="1:20" x14ac:dyDescent="0.25">
      <c r="A84" s="8"/>
      <c r="B84" s="186" t="s">
        <v>265</v>
      </c>
      <c r="I84" s="6"/>
      <c r="J84" s="41"/>
      <c r="M84" s="11"/>
      <c r="N84" s="11"/>
      <c r="O84" s="11"/>
      <c r="P84" s="11"/>
      <c r="Q84" s="11"/>
      <c r="R84" s="11"/>
      <c r="S84" s="11"/>
      <c r="T84" s="11"/>
    </row>
    <row r="85" spans="1:20" x14ac:dyDescent="0.25">
      <c r="A85" s="8"/>
      <c r="B85" s="186" t="s">
        <v>266</v>
      </c>
      <c r="I85" s="6"/>
      <c r="J85" s="41"/>
      <c r="M85" s="11"/>
      <c r="N85" s="11"/>
      <c r="O85" s="11"/>
      <c r="P85" s="11"/>
      <c r="Q85" s="11"/>
      <c r="R85" s="11"/>
      <c r="S85" s="11"/>
      <c r="T85" s="11"/>
    </row>
    <row r="86" spans="1:20" x14ac:dyDescent="0.25">
      <c r="A86" s="8"/>
      <c r="B86" s="186" t="s">
        <v>267</v>
      </c>
      <c r="I86" s="6"/>
      <c r="J86" s="41"/>
      <c r="M86" s="11"/>
      <c r="N86" s="11"/>
      <c r="O86" s="11"/>
      <c r="P86" s="11"/>
      <c r="Q86" s="11"/>
      <c r="R86" s="11"/>
      <c r="S86" s="11"/>
      <c r="T86" s="11"/>
    </row>
    <row r="87" spans="1:20" x14ac:dyDescent="0.25">
      <c r="A87" s="8"/>
      <c r="B87" s="186" t="s">
        <v>268</v>
      </c>
      <c r="I87" s="6"/>
      <c r="J87" s="41"/>
      <c r="M87" s="11"/>
      <c r="N87" s="11"/>
      <c r="O87" s="11"/>
      <c r="P87" s="11"/>
      <c r="Q87" s="11"/>
      <c r="R87" s="11"/>
      <c r="S87" s="11"/>
      <c r="T87" s="11"/>
    </row>
    <row r="88" spans="1:20" x14ac:dyDescent="0.25">
      <c r="A88" s="8"/>
      <c r="B88" s="186" t="s">
        <v>269</v>
      </c>
      <c r="I88" s="6"/>
      <c r="J88" s="41"/>
      <c r="M88" s="11"/>
      <c r="N88" s="11"/>
      <c r="O88" s="11"/>
      <c r="P88" s="11"/>
      <c r="Q88" s="11"/>
      <c r="R88" s="11"/>
      <c r="S88" s="11"/>
      <c r="T88" s="11"/>
    </row>
    <row r="89" spans="1:20" x14ac:dyDescent="0.25">
      <c r="A89" s="8"/>
      <c r="B89" s="186" t="s">
        <v>270</v>
      </c>
      <c r="I89" s="6"/>
      <c r="J89" s="41"/>
      <c r="M89" s="11"/>
      <c r="N89" s="11"/>
      <c r="O89" s="11"/>
      <c r="P89" s="11"/>
      <c r="Q89" s="11"/>
      <c r="R89" s="11"/>
      <c r="S89" s="11"/>
      <c r="T89" s="11"/>
    </row>
    <row r="90" spans="1:20" x14ac:dyDescent="0.25">
      <c r="A90" s="8"/>
      <c r="B90" s="186" t="s">
        <v>271</v>
      </c>
      <c r="I90" s="6"/>
      <c r="J90" s="41"/>
      <c r="M90" s="11"/>
      <c r="N90" s="11"/>
      <c r="O90" s="11"/>
      <c r="P90" s="11"/>
      <c r="Q90" s="11"/>
      <c r="R90" s="11"/>
      <c r="S90" s="11"/>
      <c r="T90" s="11"/>
    </row>
    <row r="91" spans="1:20" x14ac:dyDescent="0.25">
      <c r="A91" s="8"/>
      <c r="B91" s="186" t="s">
        <v>272</v>
      </c>
      <c r="I91" s="6"/>
      <c r="J91" s="41"/>
      <c r="M91" s="11"/>
      <c r="N91" s="11"/>
      <c r="O91" s="11"/>
      <c r="P91" s="11"/>
      <c r="Q91" s="11"/>
      <c r="R91" s="11"/>
      <c r="S91" s="11"/>
      <c r="T91" s="11"/>
    </row>
    <row r="92" spans="1:20" x14ac:dyDescent="0.25">
      <c r="A92" s="8"/>
      <c r="B92" s="186" t="s">
        <v>273</v>
      </c>
      <c r="I92" s="6"/>
      <c r="J92" s="41"/>
      <c r="M92" s="11"/>
      <c r="N92" s="11"/>
      <c r="O92" s="11"/>
      <c r="P92" s="11"/>
      <c r="Q92" s="11"/>
      <c r="R92" s="11"/>
      <c r="S92" s="11"/>
      <c r="T92" s="11"/>
    </row>
    <row r="93" spans="1:20" x14ac:dyDescent="0.25">
      <c r="A93" s="8"/>
      <c r="B93" s="186" t="s">
        <v>274</v>
      </c>
      <c r="I93" s="6"/>
      <c r="J93" s="41"/>
      <c r="M93" s="11"/>
      <c r="N93" s="11"/>
      <c r="O93" s="11"/>
      <c r="P93" s="11"/>
      <c r="Q93" s="11"/>
      <c r="R93" s="11"/>
      <c r="S93" s="11"/>
      <c r="T93" s="11"/>
    </row>
    <row r="94" spans="1:20" x14ac:dyDescent="0.25">
      <c r="A94" s="8"/>
      <c r="B94" s="186" t="s">
        <v>275</v>
      </c>
      <c r="I94" s="6"/>
      <c r="J94" s="41"/>
      <c r="M94" s="11"/>
      <c r="N94" s="11"/>
      <c r="O94" s="11"/>
      <c r="P94" s="11"/>
      <c r="Q94" s="11"/>
      <c r="R94" s="11"/>
      <c r="S94" s="11"/>
      <c r="T94" s="11"/>
    </row>
    <row r="95" spans="1:20" x14ac:dyDescent="0.25">
      <c r="A95" s="8"/>
      <c r="B95" s="186" t="s">
        <v>276</v>
      </c>
      <c r="I95" s="6"/>
      <c r="J95" s="41"/>
      <c r="M95" s="11"/>
      <c r="N95" s="11"/>
      <c r="O95" s="11"/>
      <c r="P95" s="11"/>
      <c r="Q95" s="11"/>
      <c r="R95" s="11"/>
      <c r="S95" s="11"/>
      <c r="T95" s="11"/>
    </row>
    <row r="96" spans="1:20" x14ac:dyDescent="0.25">
      <c r="A96" s="8"/>
      <c r="B96" s="186" t="s">
        <v>277</v>
      </c>
      <c r="I96" s="6"/>
      <c r="J96" s="41"/>
      <c r="M96" s="11"/>
      <c r="N96" s="11"/>
      <c r="O96" s="11"/>
      <c r="P96" s="11"/>
      <c r="Q96" s="11"/>
      <c r="R96" s="11"/>
      <c r="S96" s="11"/>
      <c r="T96" s="11"/>
    </row>
    <row r="97" spans="1:45" x14ac:dyDescent="0.25">
      <c r="A97" s="8"/>
      <c r="B97" s="186" t="s">
        <v>278</v>
      </c>
      <c r="I97" s="6"/>
      <c r="J97" s="41"/>
      <c r="M97" s="11"/>
      <c r="N97" s="11"/>
      <c r="O97" s="11"/>
      <c r="P97" s="11"/>
      <c r="Q97" s="11"/>
      <c r="R97" s="11"/>
      <c r="S97" s="11"/>
      <c r="T97" s="11"/>
    </row>
    <row r="98" spans="1:45" x14ac:dyDescent="0.25">
      <c r="A98" s="8"/>
      <c r="B98" s="186" t="s">
        <v>279</v>
      </c>
      <c r="I98" s="6"/>
      <c r="J98" s="41"/>
      <c r="M98" s="11"/>
      <c r="N98" s="11"/>
      <c r="O98" s="11"/>
      <c r="P98" s="11"/>
      <c r="Q98" s="11"/>
      <c r="R98" s="11"/>
      <c r="S98" s="11"/>
      <c r="T98" s="11"/>
    </row>
    <row r="99" spans="1:45" x14ac:dyDescent="0.25">
      <c r="A99" s="8"/>
      <c r="B99" s="186" t="s">
        <v>280</v>
      </c>
      <c r="I99" s="6"/>
      <c r="J99" s="41"/>
      <c r="M99" s="11"/>
      <c r="N99" s="11"/>
      <c r="O99" s="11"/>
      <c r="P99" s="11"/>
      <c r="Q99" s="11"/>
      <c r="R99" s="11"/>
      <c r="S99" s="11"/>
      <c r="T99" s="11"/>
    </row>
    <row r="100" spans="1:45" x14ac:dyDescent="0.25">
      <c r="A100" s="8"/>
      <c r="B100" s="186" t="s">
        <v>281</v>
      </c>
      <c r="I100" s="6"/>
      <c r="J100" s="41"/>
      <c r="M100" s="11"/>
      <c r="N100" s="11"/>
      <c r="O100" s="11"/>
      <c r="P100" s="11"/>
      <c r="Q100" s="11"/>
      <c r="R100" s="11"/>
      <c r="S100" s="11"/>
      <c r="T100" s="11"/>
    </row>
    <row r="101" spans="1:45" x14ac:dyDescent="0.25">
      <c r="A101" s="8"/>
      <c r="B101" s="186" t="s">
        <v>282</v>
      </c>
      <c r="I101" s="6"/>
      <c r="J101" s="41"/>
      <c r="M101" s="11"/>
      <c r="N101" s="11"/>
      <c r="O101" s="11"/>
      <c r="P101" s="11"/>
      <c r="Q101" s="11"/>
      <c r="R101" s="11"/>
      <c r="S101" s="11"/>
      <c r="T101" s="11"/>
    </row>
    <row r="102" spans="1:45" x14ac:dyDescent="0.25">
      <c r="A102" s="8"/>
      <c r="B102" s="186" t="s">
        <v>283</v>
      </c>
      <c r="I102" s="6"/>
      <c r="J102" s="41"/>
      <c r="M102" s="11"/>
      <c r="N102" s="11"/>
      <c r="O102" s="11"/>
      <c r="P102" s="11"/>
      <c r="Q102" s="11"/>
      <c r="R102" s="11"/>
      <c r="S102" s="11"/>
      <c r="T102" s="11"/>
    </row>
    <row r="103" spans="1:45" x14ac:dyDescent="0.25">
      <c r="A103" s="8"/>
      <c r="B103" s="186" t="s">
        <v>284</v>
      </c>
      <c r="I103" s="6"/>
      <c r="J103" s="41"/>
      <c r="M103" s="11"/>
      <c r="N103" s="11"/>
      <c r="O103" s="11"/>
      <c r="P103" s="11"/>
      <c r="Q103" s="11"/>
      <c r="R103" s="11"/>
      <c r="S103" s="11"/>
      <c r="T103" s="11"/>
    </row>
    <row r="104" spans="1:45" x14ac:dyDescent="0.25">
      <c r="A104" s="8"/>
      <c r="B104" s="186" t="s">
        <v>285</v>
      </c>
      <c r="I104" s="6"/>
      <c r="J104" s="41"/>
      <c r="M104" s="11"/>
      <c r="N104" s="11"/>
      <c r="O104" s="11"/>
      <c r="P104" s="11"/>
      <c r="Q104" s="11"/>
      <c r="R104" s="11"/>
      <c r="S104" s="11"/>
      <c r="T104" s="11"/>
      <c r="AA104" s="41"/>
      <c r="AB104" s="198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</row>
    <row r="105" spans="1:45" x14ac:dyDescent="0.25">
      <c r="A105" s="8"/>
      <c r="B105" s="186" t="s">
        <v>286</v>
      </c>
      <c r="I105" s="6"/>
      <c r="J105" s="41"/>
      <c r="L105" s="117" t="s">
        <v>139</v>
      </c>
      <c r="M105" s="11"/>
      <c r="N105" s="11"/>
      <c r="O105" s="11"/>
      <c r="P105" s="11"/>
      <c r="Q105" s="11"/>
      <c r="R105" s="52"/>
      <c r="S105" s="11"/>
      <c r="T105" s="11"/>
      <c r="AA105" s="53"/>
      <c r="AB105" s="198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</row>
    <row r="106" spans="1:45" ht="18.75" x14ac:dyDescent="0.3">
      <c r="A106" s="8"/>
      <c r="B106" s="186" t="s">
        <v>287</v>
      </c>
      <c r="I106" s="6"/>
      <c r="J106" s="41"/>
      <c r="L106" s="56"/>
      <c r="M106" s="11"/>
      <c r="N106" s="11"/>
      <c r="O106" s="11"/>
      <c r="P106" s="11"/>
      <c r="Q106" s="11"/>
      <c r="R106" s="11"/>
      <c r="S106" s="11"/>
      <c r="T106" s="11"/>
      <c r="AB106" s="185"/>
      <c r="AC106" s="199" t="s">
        <v>319</v>
      </c>
      <c r="AD106" s="185"/>
      <c r="AE106" s="200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</row>
    <row r="107" spans="1:45" ht="21" x14ac:dyDescent="0.35">
      <c r="A107" s="8"/>
      <c r="B107" s="186" t="s">
        <v>288</v>
      </c>
      <c r="I107" s="6"/>
      <c r="J107" s="41"/>
      <c r="M107" s="11"/>
      <c r="N107" s="11"/>
      <c r="O107" s="11"/>
      <c r="P107" s="11"/>
      <c r="Q107" s="11"/>
      <c r="R107" s="11"/>
      <c r="S107" s="11"/>
      <c r="T107" s="11"/>
      <c r="X107" s="74" t="s">
        <v>120</v>
      </c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</row>
    <row r="108" spans="1:45" ht="21" x14ac:dyDescent="0.35">
      <c r="A108" s="8"/>
      <c r="B108" s="186" t="s">
        <v>289</v>
      </c>
      <c r="I108" s="6"/>
      <c r="J108" s="41"/>
      <c r="M108" s="11"/>
      <c r="N108" s="11"/>
      <c r="O108" s="11"/>
      <c r="P108" s="11"/>
      <c r="Q108" s="11"/>
      <c r="R108" s="11"/>
      <c r="S108" s="11"/>
      <c r="T108" s="11"/>
      <c r="X108" s="74" t="s">
        <v>126</v>
      </c>
      <c r="AB108" s="201"/>
      <c r="AC108" s="185"/>
      <c r="AD108" s="194"/>
      <c r="AE108" s="194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</row>
    <row r="109" spans="1:45" x14ac:dyDescent="0.25">
      <c r="A109" s="15" t="s">
        <v>5</v>
      </c>
      <c r="B109" s="186" t="s">
        <v>320</v>
      </c>
      <c r="I109" s="6"/>
      <c r="J109" s="41"/>
      <c r="M109" s="11"/>
      <c r="N109" s="11"/>
      <c r="O109" s="11"/>
      <c r="P109" s="11"/>
      <c r="Q109" s="11"/>
      <c r="R109" s="11"/>
      <c r="S109" s="11"/>
      <c r="T109" s="11"/>
      <c r="V109" s="118" t="s">
        <v>143</v>
      </c>
      <c r="AB109" s="191"/>
      <c r="AC109" s="185"/>
      <c r="AD109" s="191"/>
      <c r="AE109" s="191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</row>
    <row r="110" spans="1:45" x14ac:dyDescent="0.25">
      <c r="A110" s="8"/>
      <c r="B110" s="186" t="s">
        <v>290</v>
      </c>
      <c r="I110" s="6"/>
      <c r="J110" s="41"/>
      <c r="M110" s="11"/>
      <c r="N110" s="11"/>
      <c r="O110" s="11"/>
      <c r="P110" s="11"/>
      <c r="Q110" s="11"/>
      <c r="R110" s="11"/>
      <c r="S110" s="11"/>
      <c r="T110" s="11"/>
      <c r="V110" s="118" t="s">
        <v>144</v>
      </c>
      <c r="AB110" s="191"/>
      <c r="AC110" s="185"/>
      <c r="AD110" s="191"/>
      <c r="AE110" s="191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</row>
    <row r="111" spans="1:45" x14ac:dyDescent="0.25">
      <c r="A111" s="8"/>
      <c r="B111" s="186" t="s">
        <v>291</v>
      </c>
      <c r="I111" s="6"/>
      <c r="J111" s="41"/>
      <c r="M111" s="11"/>
      <c r="N111" s="11"/>
      <c r="O111" s="11"/>
      <c r="P111" s="11"/>
      <c r="Q111" s="11"/>
      <c r="R111" s="11"/>
      <c r="S111" s="11"/>
      <c r="T111" s="11"/>
      <c r="AB111" s="191"/>
      <c r="AC111" s="185"/>
      <c r="AD111" s="191"/>
      <c r="AE111" s="191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</row>
    <row r="112" spans="1:45" ht="21" x14ac:dyDescent="0.35">
      <c r="A112" s="8"/>
      <c r="B112" s="186" t="s">
        <v>292</v>
      </c>
      <c r="I112" s="6"/>
      <c r="J112" s="41"/>
      <c r="M112" s="11"/>
      <c r="N112" s="11"/>
      <c r="O112" s="11"/>
      <c r="P112" s="11"/>
      <c r="Q112" s="11"/>
      <c r="R112" s="11"/>
      <c r="S112" s="11"/>
      <c r="T112" s="11"/>
      <c r="V112" s="14">
        <f>'Daten Auswertung'!C16</f>
        <v>16610</v>
      </c>
      <c r="X112" s="79" t="s">
        <v>117</v>
      </c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</row>
    <row r="113" spans="1:45" ht="15.75" x14ac:dyDescent="0.25">
      <c r="A113" s="8"/>
      <c r="B113" s="186" t="s">
        <v>293</v>
      </c>
      <c r="I113" s="6"/>
      <c r="J113" s="41"/>
      <c r="M113" s="11"/>
      <c r="N113" s="11"/>
      <c r="O113" s="11"/>
      <c r="P113" s="11"/>
      <c r="Q113" s="11"/>
      <c r="R113" s="11"/>
      <c r="S113" s="11"/>
      <c r="T113" s="11"/>
      <c r="V113" s="14"/>
      <c r="X113" s="38" t="s">
        <v>134</v>
      </c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</row>
    <row r="114" spans="1:45" ht="23.25" x14ac:dyDescent="0.25">
      <c r="A114" s="8"/>
      <c r="B114" s="186" t="s">
        <v>294</v>
      </c>
      <c r="I114" s="6"/>
      <c r="J114" s="41"/>
      <c r="M114" s="11"/>
      <c r="N114" s="11"/>
      <c r="O114" s="11"/>
      <c r="P114" s="11"/>
      <c r="Q114" s="11"/>
      <c r="R114" s="11"/>
      <c r="S114" s="11"/>
      <c r="T114" s="11"/>
      <c r="V114" s="14"/>
      <c r="X114" s="38" t="s">
        <v>135</v>
      </c>
      <c r="Z114" s="85" t="s">
        <v>125</v>
      </c>
      <c r="AB114" s="201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</row>
    <row r="115" spans="1:45" ht="21" x14ac:dyDescent="0.35">
      <c r="A115" s="8"/>
      <c r="B115" s="186" t="s">
        <v>295</v>
      </c>
      <c r="I115" s="6"/>
      <c r="J115" s="41"/>
      <c r="M115" s="11"/>
      <c r="N115" s="11"/>
      <c r="O115" s="11"/>
      <c r="P115" s="11"/>
      <c r="Q115" s="11"/>
      <c r="R115" s="11"/>
      <c r="S115" s="11"/>
      <c r="T115" s="11"/>
      <c r="V115" s="14">
        <f>'Daten Auswertung'!C15</f>
        <v>12450</v>
      </c>
      <c r="Y115" s="73" t="s">
        <v>111</v>
      </c>
      <c r="Z115" s="189">
        <v>28</v>
      </c>
      <c r="AB115" s="191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</row>
    <row r="116" spans="1:45" x14ac:dyDescent="0.25">
      <c r="A116" s="8"/>
      <c r="B116" s="186" t="s">
        <v>296</v>
      </c>
      <c r="I116" s="6"/>
      <c r="J116" s="41"/>
      <c r="M116" s="11"/>
      <c r="N116" s="11"/>
      <c r="O116" s="11"/>
      <c r="P116" s="11"/>
      <c r="Q116" s="11"/>
      <c r="R116" s="11"/>
      <c r="S116" s="11"/>
      <c r="T116" s="11"/>
      <c r="V116" s="14"/>
      <c r="AB116" s="191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</row>
    <row r="117" spans="1:45" ht="21" x14ac:dyDescent="0.35">
      <c r="A117" s="6"/>
      <c r="B117" s="186" t="s">
        <v>297</v>
      </c>
      <c r="I117" s="6"/>
      <c r="J117" s="41"/>
      <c r="M117" s="11"/>
      <c r="N117" s="11"/>
      <c r="O117" s="11"/>
      <c r="P117" s="11"/>
      <c r="Q117" s="11"/>
      <c r="R117" s="11"/>
      <c r="S117" s="11"/>
      <c r="T117" s="11"/>
      <c r="V117" s="14"/>
      <c r="Y117" s="73" t="s">
        <v>112</v>
      </c>
      <c r="Z117" s="189">
        <v>1010</v>
      </c>
      <c r="AB117" s="191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</row>
    <row r="118" spans="1:45" x14ac:dyDescent="0.25">
      <c r="A118" s="6"/>
      <c r="B118" s="186" t="s">
        <v>298</v>
      </c>
      <c r="I118" s="6"/>
      <c r="J118" s="41"/>
      <c r="M118" s="11"/>
      <c r="N118" s="11"/>
      <c r="O118" s="11"/>
      <c r="P118" s="11"/>
      <c r="Q118" s="11"/>
      <c r="R118" s="11"/>
      <c r="S118" s="11"/>
      <c r="T118" s="11"/>
      <c r="V118" s="14">
        <f>'Daten Auswertung'!C14</f>
        <v>9710</v>
      </c>
      <c r="AB118" s="191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</row>
    <row r="119" spans="1:45" x14ac:dyDescent="0.25">
      <c r="A119" s="6"/>
      <c r="B119" s="186" t="s">
        <v>299</v>
      </c>
      <c r="I119" s="6"/>
      <c r="J119" s="41"/>
      <c r="M119" s="11"/>
      <c r="N119" s="11"/>
      <c r="O119" s="11"/>
      <c r="P119" s="11"/>
      <c r="Q119" s="11"/>
      <c r="R119" s="11"/>
      <c r="S119" s="11"/>
      <c r="T119" s="11"/>
      <c r="V119" s="14"/>
      <c r="AB119" s="191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</row>
    <row r="120" spans="1:45" x14ac:dyDescent="0.25">
      <c r="A120" s="6"/>
      <c r="B120" s="186" t="s">
        <v>300</v>
      </c>
      <c r="I120" s="6"/>
      <c r="J120" s="41"/>
      <c r="M120" s="11"/>
      <c r="N120" s="11"/>
      <c r="O120" s="11"/>
      <c r="P120" s="11"/>
      <c r="Q120" s="11"/>
      <c r="R120" s="11"/>
      <c r="S120" s="11"/>
      <c r="T120" s="11"/>
      <c r="V120" s="14"/>
      <c r="AB120" s="191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</row>
    <row r="121" spans="1:45" ht="21" x14ac:dyDescent="0.35">
      <c r="A121" s="6"/>
      <c r="B121" s="186" t="s">
        <v>301</v>
      </c>
      <c r="I121" s="6"/>
      <c r="J121" s="41"/>
      <c r="M121" s="11"/>
      <c r="N121" s="11"/>
      <c r="O121" s="11"/>
      <c r="P121" s="11"/>
      <c r="Q121" s="11"/>
      <c r="R121" s="11"/>
      <c r="S121" s="11"/>
      <c r="T121" s="11"/>
      <c r="V121" s="14"/>
      <c r="X121" s="80" t="s">
        <v>141</v>
      </c>
      <c r="Z121" s="80" t="s">
        <v>121</v>
      </c>
      <c r="AB121" s="191"/>
      <c r="AC121" s="185"/>
      <c r="AD121" s="191"/>
      <c r="AE121" s="191"/>
      <c r="AF121" s="185"/>
      <c r="AG121" s="185"/>
      <c r="AH121" s="185"/>
      <c r="AI121" s="185"/>
      <c r="AJ121" s="185"/>
      <c r="AK121" s="192"/>
      <c r="AL121" s="185"/>
      <c r="AM121" s="185"/>
      <c r="AN121" s="185"/>
      <c r="AO121" s="185"/>
      <c r="AP121" s="185"/>
      <c r="AQ121" s="185"/>
      <c r="AR121" s="185"/>
      <c r="AS121" s="185"/>
    </row>
    <row r="122" spans="1:45" ht="15.75" x14ac:dyDescent="0.25">
      <c r="A122" s="6"/>
      <c r="B122" s="186" t="s">
        <v>302</v>
      </c>
      <c r="I122" s="6"/>
      <c r="J122" s="41"/>
      <c r="M122" s="11"/>
      <c r="N122" s="11"/>
      <c r="O122" s="11"/>
      <c r="P122" s="11"/>
      <c r="Q122" s="11"/>
      <c r="R122" s="11"/>
      <c r="S122" s="11"/>
      <c r="T122" s="11"/>
      <c r="V122" s="14"/>
      <c r="X122" s="38" t="s">
        <v>142</v>
      </c>
      <c r="AB122" s="191"/>
      <c r="AC122" s="185"/>
      <c r="AD122" s="191"/>
      <c r="AE122" s="191"/>
      <c r="AF122" s="185"/>
      <c r="AG122" s="185"/>
      <c r="AH122" s="185"/>
      <c r="AI122" s="185"/>
      <c r="AJ122" s="185"/>
      <c r="AK122" s="192"/>
      <c r="AL122" s="185"/>
      <c r="AM122" s="185"/>
      <c r="AN122" s="185"/>
      <c r="AO122" s="185"/>
      <c r="AP122" s="185"/>
      <c r="AQ122" s="185"/>
      <c r="AR122" s="185"/>
      <c r="AS122" s="185"/>
    </row>
    <row r="123" spans="1:45" x14ac:dyDescent="0.25">
      <c r="A123" s="6"/>
      <c r="B123" s="186" t="s">
        <v>303</v>
      </c>
      <c r="I123" s="6"/>
      <c r="J123" s="41"/>
      <c r="M123" s="11"/>
      <c r="N123" s="11"/>
      <c r="O123" s="11"/>
      <c r="P123" s="11"/>
      <c r="Q123" s="11"/>
      <c r="R123" s="11"/>
      <c r="S123" s="11"/>
      <c r="T123" s="11"/>
      <c r="V123" s="14">
        <f>'Daten Auswertung'!C13</f>
        <v>7590</v>
      </c>
      <c r="AB123" s="191"/>
      <c r="AC123" s="185"/>
      <c r="AD123" s="191"/>
      <c r="AE123" s="191"/>
      <c r="AF123" s="185"/>
      <c r="AG123" s="185"/>
      <c r="AH123" s="185"/>
      <c r="AI123" s="185"/>
      <c r="AJ123" s="185"/>
      <c r="AK123" s="192"/>
      <c r="AL123" s="185"/>
      <c r="AM123" s="185"/>
      <c r="AN123" s="185"/>
      <c r="AO123" s="185"/>
      <c r="AP123" s="185"/>
      <c r="AQ123" s="185"/>
      <c r="AR123" s="185"/>
      <c r="AS123" s="185"/>
    </row>
    <row r="124" spans="1:45" ht="15.75" x14ac:dyDescent="0.25">
      <c r="A124" s="6"/>
      <c r="B124" s="186" t="s">
        <v>304</v>
      </c>
      <c r="I124" s="6"/>
      <c r="J124" s="41"/>
      <c r="M124" s="11"/>
      <c r="N124" s="11"/>
      <c r="O124" s="11"/>
      <c r="P124" s="11"/>
      <c r="Q124" s="11"/>
      <c r="R124" s="11"/>
      <c r="S124" s="11"/>
      <c r="T124" s="11"/>
      <c r="V124" s="14"/>
      <c r="X124" s="38" t="s">
        <v>136</v>
      </c>
      <c r="AB124" s="191"/>
      <c r="AC124" s="185"/>
      <c r="AD124" s="191"/>
      <c r="AE124" s="191"/>
      <c r="AF124" s="185"/>
      <c r="AG124" s="185"/>
      <c r="AH124" s="185"/>
      <c r="AI124" s="185"/>
      <c r="AJ124" s="185"/>
      <c r="AK124" s="192"/>
      <c r="AL124" s="185"/>
      <c r="AM124" s="185"/>
      <c r="AN124" s="185"/>
      <c r="AO124" s="185"/>
      <c r="AP124" s="185"/>
      <c r="AQ124" s="185"/>
      <c r="AR124" s="185"/>
      <c r="AS124" s="185"/>
    </row>
    <row r="125" spans="1:45" ht="23.25" x14ac:dyDescent="0.25">
      <c r="A125" s="6"/>
      <c r="B125" s="186" t="s">
        <v>305</v>
      </c>
      <c r="I125" s="6"/>
      <c r="J125" s="41"/>
      <c r="M125" s="11"/>
      <c r="N125" s="11"/>
      <c r="O125" s="11"/>
      <c r="P125" s="11"/>
      <c r="Q125" s="11"/>
      <c r="R125" s="11"/>
      <c r="S125" s="11"/>
      <c r="T125" s="11"/>
      <c r="V125" s="14"/>
      <c r="X125" s="38" t="s">
        <v>135</v>
      </c>
      <c r="Z125" s="86" t="s">
        <v>125</v>
      </c>
      <c r="AB125" s="191"/>
      <c r="AC125" s="185"/>
      <c r="AD125" s="191"/>
      <c r="AE125" s="191"/>
      <c r="AF125" s="185"/>
      <c r="AG125" s="185"/>
      <c r="AH125" s="185"/>
      <c r="AI125" s="185"/>
      <c r="AJ125" s="185"/>
      <c r="AK125" s="192"/>
      <c r="AL125" s="185"/>
      <c r="AM125" s="185"/>
      <c r="AN125" s="185"/>
      <c r="AO125" s="185"/>
      <c r="AP125" s="185"/>
      <c r="AQ125" s="185"/>
      <c r="AR125" s="185"/>
      <c r="AS125" s="185"/>
    </row>
    <row r="126" spans="1:45" ht="21" x14ac:dyDescent="0.35">
      <c r="A126" s="6"/>
      <c r="B126" s="186" t="s">
        <v>306</v>
      </c>
      <c r="I126" s="6"/>
      <c r="J126" s="41"/>
      <c r="M126" s="11"/>
      <c r="N126" s="11"/>
      <c r="O126" s="11"/>
      <c r="P126" s="11"/>
      <c r="Q126" s="11"/>
      <c r="R126" s="11"/>
      <c r="S126" s="11"/>
      <c r="T126" s="11"/>
      <c r="V126" s="14">
        <f>'Daten Auswertung'!C12</f>
        <v>5870</v>
      </c>
      <c r="Y126" s="73" t="s">
        <v>111</v>
      </c>
      <c r="Z126" s="189">
        <v>25</v>
      </c>
      <c r="AB126" s="191"/>
      <c r="AC126" s="185"/>
      <c r="AD126" s="191"/>
      <c r="AE126" s="191"/>
      <c r="AF126" s="185"/>
      <c r="AG126" s="185"/>
      <c r="AH126" s="185"/>
      <c r="AI126" s="185"/>
      <c r="AJ126" s="185"/>
      <c r="AK126" s="192"/>
      <c r="AL126" s="185"/>
      <c r="AM126" s="185"/>
      <c r="AN126" s="185"/>
      <c r="AO126" s="185"/>
      <c r="AP126" s="185"/>
      <c r="AQ126" s="185"/>
      <c r="AR126" s="185"/>
      <c r="AS126" s="185"/>
    </row>
    <row r="127" spans="1:45" x14ac:dyDescent="0.25">
      <c r="A127" s="6"/>
      <c r="B127" s="186" t="s">
        <v>307</v>
      </c>
      <c r="I127" s="6"/>
      <c r="J127" s="41"/>
      <c r="M127" s="11"/>
      <c r="N127" s="11"/>
      <c r="O127" s="11"/>
      <c r="P127" s="11"/>
      <c r="Q127" s="11"/>
      <c r="R127" s="11"/>
      <c r="S127" s="11"/>
      <c r="T127" s="11"/>
      <c r="V127" s="14"/>
      <c r="AB127" s="191"/>
      <c r="AC127" s="185"/>
      <c r="AD127" s="191"/>
      <c r="AE127" s="191"/>
      <c r="AF127" s="192"/>
      <c r="AG127" s="192"/>
      <c r="AH127" s="192"/>
      <c r="AI127" s="192"/>
      <c r="AJ127" s="192"/>
      <c r="AK127" s="192"/>
      <c r="AL127" s="185"/>
      <c r="AM127" s="185"/>
      <c r="AN127" s="185"/>
      <c r="AO127" s="185"/>
      <c r="AP127" s="185"/>
      <c r="AQ127" s="185"/>
      <c r="AR127" s="185"/>
      <c r="AS127" s="185"/>
    </row>
    <row r="128" spans="1:45" ht="21" x14ac:dyDescent="0.35">
      <c r="A128" s="6"/>
      <c r="B128" s="186" t="s">
        <v>308</v>
      </c>
      <c r="I128" s="6"/>
      <c r="J128" s="41"/>
      <c r="M128" s="11"/>
      <c r="N128" s="11"/>
      <c r="O128" s="11"/>
      <c r="P128" s="11"/>
      <c r="Q128" s="11"/>
      <c r="R128" s="11"/>
      <c r="S128" s="11"/>
      <c r="T128" s="11"/>
      <c r="V128" s="14"/>
      <c r="Y128" s="73" t="s">
        <v>112</v>
      </c>
      <c r="Z128" s="189">
        <v>1010</v>
      </c>
      <c r="AB128" s="191"/>
      <c r="AC128" s="185"/>
      <c r="AD128" s="191"/>
      <c r="AE128" s="191"/>
      <c r="AF128" s="193"/>
      <c r="AG128" s="192"/>
      <c r="AH128" s="192"/>
      <c r="AI128" s="192"/>
      <c r="AJ128" s="192"/>
      <c r="AK128" s="192"/>
      <c r="AL128" s="185"/>
      <c r="AM128" s="191"/>
      <c r="AN128" s="191"/>
      <c r="AO128" s="185"/>
      <c r="AP128" s="185"/>
      <c r="AQ128" s="185"/>
      <c r="AR128" s="185"/>
      <c r="AS128" s="185"/>
    </row>
    <row r="129" spans="1:45" x14ac:dyDescent="0.25">
      <c r="A129" s="6"/>
      <c r="B129" s="186" t="s">
        <v>309</v>
      </c>
      <c r="I129" s="6"/>
      <c r="J129" s="41"/>
      <c r="M129" s="11"/>
      <c r="N129" s="11"/>
      <c r="O129" s="11"/>
      <c r="P129" s="11"/>
      <c r="Q129" s="11"/>
      <c r="R129" s="11"/>
      <c r="S129" s="11"/>
      <c r="T129" s="11"/>
      <c r="V129" s="14"/>
      <c r="AB129" s="191"/>
      <c r="AC129" s="185"/>
      <c r="AD129" s="185"/>
      <c r="AE129" s="185"/>
      <c r="AF129" s="192"/>
      <c r="AG129" s="192"/>
      <c r="AH129" s="192"/>
      <c r="AI129" s="192"/>
      <c r="AJ129" s="192"/>
      <c r="AK129" s="192"/>
      <c r="AL129" s="185"/>
      <c r="AM129" s="191"/>
      <c r="AN129" s="191"/>
      <c r="AO129" s="185"/>
      <c r="AP129" s="185"/>
      <c r="AQ129" s="185"/>
      <c r="AR129" s="185"/>
      <c r="AS129" s="185"/>
    </row>
    <row r="130" spans="1:45" ht="18.75" x14ac:dyDescent="0.3">
      <c r="A130" s="6"/>
      <c r="B130" s="186" t="s">
        <v>310</v>
      </c>
      <c r="I130" s="6"/>
      <c r="J130" s="41"/>
      <c r="M130" s="11"/>
      <c r="N130" s="11"/>
      <c r="O130" s="11"/>
      <c r="P130" s="11"/>
      <c r="Q130" s="11"/>
      <c r="R130" s="11"/>
      <c r="S130" s="11"/>
      <c r="T130" s="11"/>
      <c r="V130" s="14"/>
      <c r="X130" t="s">
        <v>104</v>
      </c>
      <c r="AB130" s="191"/>
      <c r="AC130" s="185"/>
      <c r="AD130" s="185"/>
      <c r="AE130" s="185"/>
      <c r="AF130" s="185"/>
      <c r="AG130" s="193"/>
      <c r="AH130" s="193"/>
      <c r="AI130" s="192"/>
      <c r="AJ130" s="192"/>
      <c r="AK130" s="192"/>
      <c r="AL130" s="185"/>
      <c r="AM130" s="191"/>
      <c r="AN130" s="191"/>
      <c r="AO130" s="185"/>
      <c r="AP130" s="185"/>
      <c r="AQ130" s="185"/>
      <c r="AR130" s="185"/>
      <c r="AS130" s="185"/>
    </row>
    <row r="131" spans="1:45" ht="18.75" x14ac:dyDescent="0.3">
      <c r="A131" s="6"/>
      <c r="B131" s="186" t="s">
        <v>311</v>
      </c>
      <c r="I131" s="6"/>
      <c r="J131" s="41"/>
      <c r="M131" s="11"/>
      <c r="N131" s="11"/>
      <c r="O131" s="11"/>
      <c r="P131" s="11"/>
      <c r="Q131" s="11"/>
      <c r="R131" s="11"/>
      <c r="S131" s="11"/>
      <c r="T131" s="11"/>
      <c r="V131" s="14"/>
      <c r="X131" t="s">
        <v>140</v>
      </c>
      <c r="AB131" s="191"/>
      <c r="AC131" s="185"/>
      <c r="AD131" s="185"/>
      <c r="AE131" s="185"/>
      <c r="AF131" s="193"/>
      <c r="AG131" s="193"/>
      <c r="AH131" s="193"/>
      <c r="AI131" s="192"/>
      <c r="AJ131" s="192"/>
      <c r="AK131" s="192"/>
      <c r="AL131" s="185"/>
      <c r="AM131" s="191"/>
      <c r="AN131" s="191"/>
      <c r="AO131" s="185"/>
      <c r="AP131" s="185"/>
      <c r="AQ131" s="185"/>
      <c r="AR131" s="185"/>
      <c r="AS131" s="185"/>
    </row>
    <row r="132" spans="1:45" ht="18.75" x14ac:dyDescent="0.3">
      <c r="A132" s="6"/>
      <c r="B132" s="186" t="s">
        <v>312</v>
      </c>
      <c r="I132" s="6"/>
      <c r="J132" s="41"/>
      <c r="M132" s="11"/>
      <c r="N132" s="11"/>
      <c r="O132" s="11"/>
      <c r="P132" s="11"/>
      <c r="Q132" s="11"/>
      <c r="R132" s="11"/>
      <c r="S132" s="11"/>
      <c r="T132" s="11"/>
      <c r="V132" s="14"/>
      <c r="X132" t="s">
        <v>115</v>
      </c>
      <c r="Z132" s="76">
        <f>Sättigungsmischungsverhältnis!U48</f>
        <v>19.886926305059522</v>
      </c>
      <c r="AB132" s="191"/>
      <c r="AC132" s="185"/>
      <c r="AD132" s="185"/>
      <c r="AE132" s="185"/>
      <c r="AF132" s="193"/>
      <c r="AG132" s="193"/>
      <c r="AH132" s="193"/>
      <c r="AI132" s="192"/>
      <c r="AJ132" s="192"/>
      <c r="AK132" s="192"/>
      <c r="AL132" s="185"/>
      <c r="AM132" s="191"/>
      <c r="AN132" s="191"/>
      <c r="AO132" s="185"/>
      <c r="AP132" s="185"/>
      <c r="AQ132" s="185"/>
      <c r="AR132" s="185"/>
      <c r="AS132" s="185"/>
    </row>
    <row r="133" spans="1:45" ht="18.75" x14ac:dyDescent="0.3">
      <c r="A133" s="6"/>
      <c r="B133" s="186" t="s">
        <v>313</v>
      </c>
      <c r="I133" s="6"/>
      <c r="J133" s="41"/>
      <c r="M133" s="11"/>
      <c r="N133" s="11"/>
      <c r="O133" s="11"/>
      <c r="P133" s="11"/>
      <c r="Q133" s="11"/>
      <c r="R133" s="11"/>
      <c r="S133" s="11"/>
      <c r="T133" s="11"/>
      <c r="V133" s="14">
        <f>'Daten Auswertung'!C11</f>
        <v>3165</v>
      </c>
      <c r="AB133" s="191"/>
      <c r="AC133" s="185"/>
      <c r="AD133" s="185"/>
      <c r="AE133" s="185"/>
      <c r="AF133" s="193"/>
      <c r="AG133" s="193"/>
      <c r="AH133" s="193"/>
      <c r="AI133" s="185"/>
      <c r="AJ133" s="185"/>
      <c r="AK133" s="192"/>
      <c r="AL133" s="185"/>
      <c r="AM133" s="191"/>
      <c r="AN133" s="191"/>
      <c r="AO133" s="185"/>
      <c r="AP133" s="185"/>
      <c r="AQ133" s="185"/>
      <c r="AR133" s="185"/>
      <c r="AS133" s="185"/>
    </row>
    <row r="134" spans="1:45" ht="18.75" x14ac:dyDescent="0.3">
      <c r="A134" s="6"/>
      <c r="B134" s="186" t="s">
        <v>314</v>
      </c>
      <c r="I134" s="6"/>
      <c r="J134" s="41"/>
      <c r="M134" s="11"/>
      <c r="N134" s="11"/>
      <c r="O134" s="11"/>
      <c r="P134" s="11"/>
      <c r="Q134" s="11"/>
      <c r="R134" s="11"/>
      <c r="S134" s="11"/>
      <c r="T134" s="11"/>
      <c r="V134" s="14"/>
      <c r="AB134" s="191"/>
      <c r="AC134" s="185"/>
      <c r="AD134" s="194"/>
      <c r="AE134" s="194"/>
      <c r="AF134" s="193"/>
      <c r="AG134" s="193"/>
      <c r="AH134" s="193"/>
      <c r="AI134" s="185"/>
      <c r="AJ134" s="185"/>
      <c r="AK134" s="192"/>
      <c r="AL134" s="185"/>
      <c r="AM134" s="191"/>
      <c r="AN134" s="191"/>
      <c r="AO134" s="185"/>
      <c r="AP134" s="185"/>
      <c r="AQ134" s="185"/>
      <c r="AR134" s="185"/>
      <c r="AS134" s="185"/>
    </row>
    <row r="135" spans="1:45" ht="18.75" x14ac:dyDescent="0.3">
      <c r="A135" s="6"/>
      <c r="B135" s="186" t="s">
        <v>315</v>
      </c>
      <c r="I135" s="6"/>
      <c r="J135" s="41"/>
      <c r="M135" s="11"/>
      <c r="N135" s="11"/>
      <c r="O135" s="11"/>
      <c r="P135" s="11"/>
      <c r="Q135" s="11"/>
      <c r="R135" s="11"/>
      <c r="S135" s="11"/>
      <c r="T135" s="11"/>
      <c r="V135" s="14"/>
      <c r="AB135" s="191"/>
      <c r="AC135" s="185"/>
      <c r="AD135" s="191"/>
      <c r="AE135" s="191"/>
      <c r="AF135" s="193"/>
      <c r="AG135" s="193"/>
      <c r="AH135" s="193"/>
      <c r="AI135" s="185"/>
      <c r="AJ135" s="185"/>
      <c r="AK135" s="192"/>
      <c r="AL135" s="185"/>
      <c r="AM135" s="191"/>
      <c r="AN135" s="191"/>
      <c r="AO135" s="185"/>
      <c r="AP135" s="185"/>
      <c r="AQ135" s="185"/>
      <c r="AR135" s="185"/>
      <c r="AS135" s="185"/>
    </row>
    <row r="136" spans="1:45" x14ac:dyDescent="0.25">
      <c r="A136" s="6"/>
      <c r="B136" s="186" t="s">
        <v>316</v>
      </c>
      <c r="I136" s="6"/>
      <c r="J136" s="41"/>
      <c r="M136" s="11"/>
      <c r="N136" s="11"/>
      <c r="O136" s="11"/>
      <c r="P136" s="11"/>
      <c r="Q136" s="11"/>
      <c r="R136" s="11"/>
      <c r="S136" s="11"/>
      <c r="T136" s="11"/>
      <c r="V136" s="14"/>
      <c r="AB136" s="191"/>
      <c r="AC136" s="185"/>
      <c r="AD136" s="191"/>
      <c r="AE136" s="191"/>
      <c r="AF136" s="192"/>
      <c r="AG136" s="192"/>
      <c r="AH136" s="192"/>
      <c r="AI136" s="185"/>
      <c r="AJ136" s="185"/>
      <c r="AK136" s="192"/>
      <c r="AL136" s="185"/>
      <c r="AM136" s="191"/>
      <c r="AN136" s="191"/>
      <c r="AO136" s="185"/>
      <c r="AP136" s="185"/>
      <c r="AQ136" s="185"/>
      <c r="AR136" s="185"/>
      <c r="AS136" s="185"/>
    </row>
    <row r="137" spans="1:45" ht="21" x14ac:dyDescent="0.35">
      <c r="A137" s="6"/>
      <c r="B137" s="187"/>
      <c r="I137" s="6"/>
      <c r="J137" s="41"/>
      <c r="M137" s="11"/>
      <c r="N137" s="11"/>
      <c r="O137" s="11"/>
      <c r="P137" s="11"/>
      <c r="Q137" s="11"/>
      <c r="R137" s="11"/>
      <c r="S137" s="11"/>
      <c r="T137" s="11"/>
      <c r="V137" s="14"/>
      <c r="X137" s="78" t="s">
        <v>116</v>
      </c>
      <c r="AB137" s="191"/>
      <c r="AC137" s="185"/>
      <c r="AD137" s="191"/>
      <c r="AE137" s="191"/>
      <c r="AF137" s="195"/>
      <c r="AG137" s="195"/>
      <c r="AH137" s="195"/>
      <c r="AI137" s="185"/>
      <c r="AJ137" s="185"/>
      <c r="AK137" s="185"/>
      <c r="AL137" s="185"/>
      <c r="AM137" s="191"/>
      <c r="AN137" s="191"/>
      <c r="AO137" s="185"/>
      <c r="AP137" s="185"/>
      <c r="AQ137" s="185"/>
      <c r="AR137" s="185"/>
      <c r="AS137" s="185"/>
    </row>
    <row r="138" spans="1:45" ht="21" x14ac:dyDescent="0.35">
      <c r="A138" s="6"/>
      <c r="B138" s="187"/>
      <c r="I138" s="6"/>
      <c r="J138" s="41"/>
      <c r="M138" s="11"/>
      <c r="N138" s="11"/>
      <c r="O138" s="11"/>
      <c r="P138" s="11"/>
      <c r="Q138" s="11"/>
      <c r="R138" s="11"/>
      <c r="S138" s="11"/>
      <c r="T138" s="11"/>
      <c r="V138" s="14"/>
      <c r="X138" s="38" t="s">
        <v>137</v>
      </c>
      <c r="AB138" s="191"/>
      <c r="AC138" s="185"/>
      <c r="AD138" s="191"/>
      <c r="AE138" s="191"/>
      <c r="AF138" s="195"/>
      <c r="AG138" s="195"/>
      <c r="AH138" s="19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</row>
    <row r="139" spans="1:45" ht="21" x14ac:dyDescent="0.35">
      <c r="A139" s="6"/>
      <c r="B139" s="187"/>
      <c r="D139" s="9"/>
      <c r="I139" s="6"/>
      <c r="J139" s="41"/>
      <c r="M139" s="11"/>
      <c r="N139" s="11"/>
      <c r="O139" s="11"/>
      <c r="P139" s="11"/>
      <c r="Q139" s="11"/>
      <c r="R139" s="11"/>
      <c r="S139" s="11"/>
      <c r="T139" s="11"/>
      <c r="V139" s="14">
        <f>'Daten Auswertung'!C10</f>
        <v>1526</v>
      </c>
      <c r="X139" s="38" t="s">
        <v>138</v>
      </c>
      <c r="AB139" s="191"/>
      <c r="AC139" s="185"/>
      <c r="AD139" s="191"/>
      <c r="AE139" s="191"/>
      <c r="AF139" s="195"/>
      <c r="AG139" s="195"/>
      <c r="AH139" s="19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</row>
    <row r="140" spans="1:45" ht="23.25" x14ac:dyDescent="0.35">
      <c r="A140" s="6"/>
      <c r="B140" s="187"/>
      <c r="D140" s="9"/>
      <c r="I140" s="6"/>
      <c r="J140" s="41"/>
      <c r="M140" s="11"/>
      <c r="N140" s="11"/>
      <c r="O140" s="11"/>
      <c r="P140" s="11"/>
      <c r="Q140" s="11"/>
      <c r="R140" s="11"/>
      <c r="S140" s="11"/>
      <c r="T140" s="11"/>
      <c r="V140" s="14"/>
      <c r="X140" s="38"/>
      <c r="Z140" s="87" t="s">
        <v>125</v>
      </c>
      <c r="AB140" s="191"/>
      <c r="AC140" s="185"/>
      <c r="AD140" s="191"/>
      <c r="AE140" s="191"/>
      <c r="AF140" s="195"/>
      <c r="AG140" s="195"/>
      <c r="AH140" s="19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</row>
    <row r="141" spans="1:45" ht="21" x14ac:dyDescent="0.35">
      <c r="A141" s="6"/>
      <c r="B141" s="187"/>
      <c r="D141" s="9"/>
      <c r="I141" s="6"/>
      <c r="J141" s="41"/>
      <c r="M141" s="11"/>
      <c r="N141" s="11"/>
      <c r="O141" s="11"/>
      <c r="P141" s="11"/>
      <c r="Q141" s="11"/>
      <c r="R141" s="11"/>
      <c r="S141" s="11"/>
      <c r="T141" s="11"/>
      <c r="V141" s="14"/>
      <c r="Y141" s="73" t="s">
        <v>111</v>
      </c>
      <c r="Z141" s="190">
        <v>24.5</v>
      </c>
      <c r="AB141" s="191"/>
      <c r="AC141" s="185"/>
      <c r="AD141" s="191"/>
      <c r="AE141" s="191"/>
      <c r="AF141" s="195"/>
      <c r="AG141" s="195"/>
      <c r="AH141" s="19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</row>
    <row r="142" spans="1:45" ht="21" x14ac:dyDescent="0.35">
      <c r="A142" s="6"/>
      <c r="B142" s="187"/>
      <c r="D142" s="9"/>
      <c r="I142" s="6"/>
      <c r="J142" s="41"/>
      <c r="M142" s="11"/>
      <c r="N142" s="11"/>
      <c r="O142" s="11"/>
      <c r="P142" s="11"/>
      <c r="Q142" s="11"/>
      <c r="R142" s="11"/>
      <c r="S142" s="11"/>
      <c r="T142" s="11"/>
      <c r="V142" s="14"/>
      <c r="AB142" s="191"/>
      <c r="AC142" s="185"/>
      <c r="AD142" s="191"/>
      <c r="AE142" s="191"/>
      <c r="AF142" s="195"/>
      <c r="AG142" s="195"/>
      <c r="AH142" s="19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</row>
    <row r="143" spans="1:45" ht="21" x14ac:dyDescent="0.35">
      <c r="A143" s="6"/>
      <c r="B143" s="187"/>
      <c r="D143" s="9"/>
      <c r="I143" s="6"/>
      <c r="J143" s="41"/>
      <c r="M143" s="11"/>
      <c r="N143" s="11"/>
      <c r="O143" s="11"/>
      <c r="P143" s="11"/>
      <c r="Q143" s="11"/>
      <c r="R143" s="11"/>
      <c r="S143" s="11"/>
      <c r="T143" s="11"/>
      <c r="V143" s="14">
        <f>'Daten Auswertung'!C9</f>
        <v>110</v>
      </c>
      <c r="Y143" s="73" t="s">
        <v>112</v>
      </c>
      <c r="Z143" s="189">
        <v>975</v>
      </c>
      <c r="AB143" s="191"/>
      <c r="AC143" s="185"/>
      <c r="AD143" s="191"/>
      <c r="AE143" s="191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</row>
    <row r="144" spans="1:45" x14ac:dyDescent="0.25">
      <c r="A144" s="6"/>
      <c r="B144" s="187"/>
      <c r="D144" s="9"/>
      <c r="I144" s="6"/>
      <c r="J144" s="41"/>
      <c r="M144" s="11"/>
      <c r="N144" s="11"/>
      <c r="O144" s="11"/>
      <c r="P144" s="11"/>
      <c r="Q144" s="11"/>
      <c r="R144" s="11"/>
      <c r="S144" s="11"/>
      <c r="T144" s="11"/>
      <c r="AB144" s="191"/>
      <c r="AC144" s="185"/>
      <c r="AD144" s="191"/>
      <c r="AE144" s="191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</row>
    <row r="145" spans="1:45" x14ac:dyDescent="0.25">
      <c r="A145" s="6"/>
      <c r="B145" s="187"/>
      <c r="D145" s="9"/>
      <c r="I145" s="6"/>
      <c r="J145" s="41"/>
      <c r="M145" s="11"/>
      <c r="N145" s="11"/>
      <c r="O145" s="11"/>
      <c r="P145" s="11"/>
      <c r="Q145" s="11"/>
      <c r="R145" s="11"/>
      <c r="S145" s="11"/>
      <c r="T145" s="11"/>
      <c r="X145" t="s">
        <v>122</v>
      </c>
      <c r="AB145" s="191"/>
      <c r="AC145" s="185"/>
      <c r="AD145" s="191"/>
      <c r="AE145" s="191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</row>
    <row r="146" spans="1:45" x14ac:dyDescent="0.25">
      <c r="A146" s="6"/>
      <c r="B146" s="187"/>
      <c r="D146" s="9"/>
      <c r="I146" s="6"/>
      <c r="J146" s="41"/>
      <c r="M146" s="11"/>
      <c r="N146" s="11"/>
      <c r="O146" s="11"/>
      <c r="P146" s="11"/>
      <c r="Q146" s="11"/>
      <c r="R146" s="11"/>
      <c r="S146" s="11"/>
      <c r="T146" s="11"/>
      <c r="X146" t="s">
        <v>123</v>
      </c>
      <c r="AB146" s="191"/>
      <c r="AC146" s="185"/>
      <c r="AD146" s="191"/>
      <c r="AE146" s="191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</row>
    <row r="147" spans="1:45" x14ac:dyDescent="0.25">
      <c r="B147" s="187"/>
      <c r="D147" s="9"/>
      <c r="I147" s="6"/>
      <c r="J147" s="41"/>
      <c r="M147" s="11"/>
      <c r="N147" s="11"/>
      <c r="O147" s="11"/>
      <c r="P147" s="11"/>
      <c r="Q147" s="11"/>
      <c r="R147" s="11"/>
      <c r="S147" s="11"/>
      <c r="T147" s="11"/>
      <c r="X147" t="s">
        <v>124</v>
      </c>
      <c r="AB147" s="191"/>
      <c r="AC147" s="185"/>
      <c r="AD147" s="191"/>
      <c r="AE147" s="191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185"/>
    </row>
    <row r="148" spans="1:45" x14ac:dyDescent="0.25">
      <c r="B148" s="3"/>
      <c r="D148" s="9"/>
      <c r="J148" s="41"/>
      <c r="M148" s="11"/>
      <c r="N148" s="11"/>
      <c r="O148" s="11"/>
      <c r="P148" s="11"/>
      <c r="Q148" s="11"/>
      <c r="R148" s="11"/>
      <c r="S148" s="11"/>
      <c r="T148" s="11"/>
      <c r="AB148" s="185"/>
      <c r="AC148" s="185"/>
      <c r="AD148" s="191"/>
      <c r="AE148" s="191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</row>
    <row r="149" spans="1:45" x14ac:dyDescent="0.25">
      <c r="B149" s="3"/>
      <c r="D149" s="9"/>
      <c r="J149" s="41"/>
      <c r="M149" s="9"/>
      <c r="N149" s="9"/>
      <c r="O149" s="9"/>
      <c r="P149" s="9"/>
      <c r="Q149" s="9"/>
      <c r="R149" s="9"/>
      <c r="S149" s="9"/>
      <c r="T149" s="9"/>
      <c r="AB149" s="185"/>
      <c r="AC149" s="185"/>
      <c r="AD149" s="191"/>
      <c r="AE149" s="191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</row>
    <row r="150" spans="1:45" x14ac:dyDescent="0.25">
      <c r="B150" s="3"/>
      <c r="D150" s="9"/>
      <c r="J150" s="41"/>
      <c r="M150" s="9"/>
      <c r="N150" s="9"/>
      <c r="O150" s="9"/>
      <c r="P150" s="9"/>
      <c r="Q150" s="9"/>
      <c r="R150" s="9"/>
      <c r="S150" s="9"/>
      <c r="T150" s="9"/>
      <c r="AB150" s="185"/>
      <c r="AC150" s="185"/>
      <c r="AD150" s="191"/>
      <c r="AE150" s="191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</row>
    <row r="151" spans="1:45" x14ac:dyDescent="0.25">
      <c r="B151" s="3"/>
      <c r="D151" s="9"/>
      <c r="J151" s="41"/>
      <c r="M151" s="9"/>
      <c r="N151" s="9"/>
      <c r="O151" s="9"/>
      <c r="P151" s="9"/>
      <c r="Q151" s="9"/>
      <c r="R151" s="9"/>
      <c r="S151" s="9"/>
      <c r="T151" s="9"/>
      <c r="AB151" s="185"/>
      <c r="AC151" s="185"/>
      <c r="AD151" s="191"/>
      <c r="AE151" s="191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</row>
    <row r="152" spans="1:45" x14ac:dyDescent="0.25">
      <c r="B152" s="3"/>
      <c r="D152" s="9"/>
      <c r="J152" s="41"/>
      <c r="AB152" s="185"/>
      <c r="AC152" s="185"/>
      <c r="AD152" s="191"/>
      <c r="AE152" s="191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</row>
    <row r="153" spans="1:45" x14ac:dyDescent="0.25">
      <c r="B153" s="3"/>
      <c r="D153" s="9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AB153" s="185"/>
      <c r="AC153" s="185"/>
      <c r="AD153" s="191"/>
      <c r="AE153" s="191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</row>
    <row r="154" spans="1:45" x14ac:dyDescent="0.25">
      <c r="B154" s="3"/>
      <c r="D154" s="9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AB154" s="185"/>
      <c r="AC154" s="185"/>
      <c r="AD154" s="191"/>
      <c r="AE154" s="191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</row>
    <row r="155" spans="1:45" x14ac:dyDescent="0.25">
      <c r="B155" s="3"/>
      <c r="D155" s="9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AB155" s="185"/>
      <c r="AC155" s="185"/>
      <c r="AD155" s="191"/>
      <c r="AE155" s="191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</row>
    <row r="156" spans="1:45" x14ac:dyDescent="0.25">
      <c r="B156" s="3"/>
      <c r="D156" s="9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V156" s="118"/>
      <c r="AB156" s="185"/>
      <c r="AC156" s="185"/>
      <c r="AD156" s="191"/>
      <c r="AE156" s="191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</row>
    <row r="157" spans="1:45" x14ac:dyDescent="0.25">
      <c r="B157" s="3"/>
      <c r="D157" s="9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V157" s="118"/>
      <c r="AB157" s="185"/>
      <c r="AC157" s="185"/>
      <c r="AD157" s="191"/>
      <c r="AE157" s="191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</row>
    <row r="158" spans="1:45" x14ac:dyDescent="0.25">
      <c r="B158" s="3"/>
      <c r="D158" s="9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AB158" s="185"/>
      <c r="AC158" s="185"/>
      <c r="AD158" s="191"/>
      <c r="AE158" s="191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</row>
    <row r="159" spans="1:45" x14ac:dyDescent="0.25">
      <c r="B159" s="3"/>
      <c r="D159" s="9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AB159" s="185"/>
      <c r="AC159" s="185"/>
      <c r="AD159" s="191"/>
      <c r="AE159" s="191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</row>
    <row r="160" spans="1:45" x14ac:dyDescent="0.25">
      <c r="B160" s="3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V160" s="14"/>
      <c r="AB160" s="185"/>
      <c r="AC160" s="185"/>
      <c r="AD160" s="191"/>
      <c r="AE160" s="191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</row>
    <row r="161" spans="2:45" x14ac:dyDescent="0.25">
      <c r="B161" s="3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AB161" s="185"/>
      <c r="AC161" s="185"/>
      <c r="AD161" s="191"/>
      <c r="AE161" s="191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</row>
    <row r="162" spans="2:45" x14ac:dyDescent="0.25">
      <c r="B162" s="3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AB162" s="185"/>
      <c r="AC162" s="185"/>
      <c r="AD162" s="191"/>
      <c r="AE162" s="191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</row>
    <row r="163" spans="2:45" x14ac:dyDescent="0.25">
      <c r="B163" s="3"/>
      <c r="C163" s="41"/>
      <c r="D163" s="58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AB163" s="185"/>
      <c r="AC163" s="185"/>
      <c r="AD163" s="191"/>
      <c r="AE163" s="191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</row>
    <row r="164" spans="2:45" x14ac:dyDescent="0.25">
      <c r="B164" s="3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AB164" s="185"/>
      <c r="AC164" s="185"/>
      <c r="AD164" s="191"/>
      <c r="AE164" s="191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</row>
    <row r="165" spans="2:45" x14ac:dyDescent="0.25">
      <c r="B165" s="3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AB165" s="185"/>
      <c r="AC165" s="185"/>
      <c r="AD165" s="191"/>
      <c r="AE165" s="191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5"/>
    </row>
    <row r="166" spans="2:45" x14ac:dyDescent="0.25">
      <c r="B166" s="3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AB166" s="185"/>
      <c r="AC166" s="185"/>
      <c r="AD166" s="191"/>
      <c r="AE166" s="191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</row>
    <row r="167" spans="2:45" x14ac:dyDescent="0.25">
      <c r="B167" s="3"/>
      <c r="C167" s="41"/>
      <c r="D167" s="59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AB167" s="185"/>
      <c r="AC167" s="185"/>
      <c r="AD167" s="191"/>
      <c r="AE167" s="191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5"/>
    </row>
    <row r="168" spans="2:45" x14ac:dyDescent="0.25">
      <c r="B168" s="3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AB168" s="185"/>
      <c r="AC168" s="185"/>
      <c r="AD168" s="191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</row>
    <row r="169" spans="2:45" x14ac:dyDescent="0.25">
      <c r="B169" s="3"/>
      <c r="C169" s="41"/>
      <c r="D169" s="60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V169" s="14"/>
      <c r="AB169" s="185"/>
      <c r="AC169" s="185"/>
      <c r="AD169" s="191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</row>
    <row r="170" spans="2:45" x14ac:dyDescent="0.25">
      <c r="B170" s="3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AB170" s="185"/>
      <c r="AC170" s="185"/>
      <c r="AD170" s="191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</row>
    <row r="171" spans="2:45" x14ac:dyDescent="0.25">
      <c r="B171" s="3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AB171" s="185"/>
      <c r="AC171" s="185"/>
      <c r="AD171" s="191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</row>
    <row r="172" spans="2:45" x14ac:dyDescent="0.25">
      <c r="B172" s="3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AB172" s="185"/>
      <c r="AC172" s="185"/>
      <c r="AD172" s="191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</row>
    <row r="173" spans="2:45" x14ac:dyDescent="0.25">
      <c r="B173" s="3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AB173" s="185"/>
      <c r="AC173" s="185"/>
      <c r="AD173" s="191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</row>
    <row r="174" spans="2:45" x14ac:dyDescent="0.25">
      <c r="B174" s="3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AB174" s="185"/>
      <c r="AC174" s="185"/>
      <c r="AD174" s="191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</row>
    <row r="175" spans="2:45" x14ac:dyDescent="0.25">
      <c r="B175" s="3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V175" s="14"/>
      <c r="AB175" s="185"/>
      <c r="AC175" s="185"/>
      <c r="AD175" s="191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</row>
    <row r="176" spans="2:45" x14ac:dyDescent="0.25">
      <c r="B176" s="3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AB176" s="185"/>
      <c r="AC176" s="185"/>
      <c r="AD176" s="191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</row>
    <row r="177" spans="2:45" x14ac:dyDescent="0.25">
      <c r="B177" s="3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AB177" s="185"/>
      <c r="AC177" s="185"/>
      <c r="AD177" s="191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</row>
    <row r="178" spans="2:45" x14ac:dyDescent="0.25">
      <c r="B178" s="3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AD178" s="10"/>
    </row>
    <row r="179" spans="2:45" x14ac:dyDescent="0.25">
      <c r="B179" s="3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AD179" s="10"/>
    </row>
    <row r="180" spans="2:45" x14ac:dyDescent="0.25">
      <c r="B180" s="3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V180" s="14"/>
      <c r="AD180" s="10"/>
    </row>
    <row r="181" spans="2:45" x14ac:dyDescent="0.25">
      <c r="B181" s="3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AD181" s="10"/>
    </row>
    <row r="182" spans="2:45" x14ac:dyDescent="0.25">
      <c r="B182" s="3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AD182" s="10"/>
    </row>
    <row r="183" spans="2:45" x14ac:dyDescent="0.25">
      <c r="B183" s="3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Z183" s="10"/>
      <c r="AA183" s="10"/>
      <c r="AB183" s="13"/>
      <c r="AD183" s="10"/>
    </row>
    <row r="184" spans="2:45" x14ac:dyDescent="0.25">
      <c r="B184" s="3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V184" s="14"/>
      <c r="Z184" s="10"/>
      <c r="AA184" s="10"/>
      <c r="AB184" s="13"/>
      <c r="AD184" s="10"/>
    </row>
    <row r="185" spans="2:45" x14ac:dyDescent="0.25">
      <c r="B185" s="3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Z185" s="10"/>
      <c r="AA185" s="10"/>
      <c r="AB185" s="13"/>
      <c r="AD185" s="10"/>
    </row>
    <row r="186" spans="2:45" x14ac:dyDescent="0.25">
      <c r="B186" s="3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Z186" s="10"/>
      <c r="AA186" s="10"/>
      <c r="AB186" s="13"/>
      <c r="AD186" s="10"/>
    </row>
    <row r="187" spans="2:45" x14ac:dyDescent="0.25">
      <c r="B187" s="3"/>
      <c r="C187" s="41"/>
      <c r="D187" s="41"/>
      <c r="E187" s="41"/>
      <c r="F187" s="41"/>
      <c r="G187" s="59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Z187" s="10"/>
      <c r="AA187" s="10"/>
      <c r="AB187" s="13"/>
      <c r="AD187" s="10"/>
    </row>
    <row r="188" spans="2:45" x14ac:dyDescent="0.25">
      <c r="B188" s="3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Z188" s="10"/>
      <c r="AA188" s="10"/>
      <c r="AB188" s="13"/>
      <c r="AD188" s="10"/>
    </row>
    <row r="189" spans="2:45" x14ac:dyDescent="0.25">
      <c r="B189" s="3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Z189" s="10"/>
      <c r="AA189" s="10"/>
      <c r="AB189" s="13"/>
      <c r="AD189" s="10"/>
    </row>
    <row r="190" spans="2:45" x14ac:dyDescent="0.25">
      <c r="B190" s="3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Z190" s="10"/>
      <c r="AA190" s="10"/>
      <c r="AB190" s="13"/>
      <c r="AD190" s="10"/>
    </row>
    <row r="191" spans="2:45" x14ac:dyDescent="0.25"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V191" s="14"/>
      <c r="Z191" s="10"/>
      <c r="AA191" s="10"/>
      <c r="AB191" s="13"/>
      <c r="AD191" s="10"/>
    </row>
    <row r="192" spans="2:45" x14ac:dyDescent="0.25"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Z192" s="10"/>
      <c r="AA192" s="10"/>
      <c r="AB192" s="13"/>
      <c r="AD192" s="10"/>
    </row>
    <row r="193" spans="3:30" x14ac:dyDescent="0.25">
      <c r="C193" s="41"/>
      <c r="D193" s="41"/>
      <c r="E193" s="41"/>
      <c r="F193" s="41"/>
      <c r="G193" s="55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Z193" s="10"/>
      <c r="AA193" s="10"/>
      <c r="AB193" s="13"/>
      <c r="AD193" s="10"/>
    </row>
    <row r="194" spans="3:30" x14ac:dyDescent="0.25">
      <c r="Z194" s="10"/>
      <c r="AA194" s="10"/>
      <c r="AB194" s="13"/>
      <c r="AD194" s="10"/>
    </row>
    <row r="195" spans="3:30" x14ac:dyDescent="0.25">
      <c r="Z195" s="10"/>
      <c r="AA195" s="10"/>
      <c r="AB195" s="13"/>
      <c r="AD195" s="10"/>
    </row>
    <row r="196" spans="3:30" x14ac:dyDescent="0.25">
      <c r="V196" s="14"/>
      <c r="Z196" s="10"/>
      <c r="AA196" s="10"/>
      <c r="AB196" s="13"/>
      <c r="AD196" s="10"/>
    </row>
    <row r="197" spans="3:30" x14ac:dyDescent="0.25">
      <c r="Z197" s="10"/>
      <c r="AA197" s="10"/>
      <c r="AB197" s="13"/>
      <c r="AD197" s="10"/>
    </row>
    <row r="198" spans="3:30" x14ac:dyDescent="0.25">
      <c r="Z198" s="10"/>
      <c r="AA198" s="10"/>
      <c r="AB198" s="13"/>
      <c r="AD198" s="10"/>
    </row>
    <row r="199" spans="3:30" x14ac:dyDescent="0.25">
      <c r="Z199" s="10"/>
      <c r="AA199" s="10"/>
      <c r="AB199" s="13"/>
      <c r="AD199" s="10"/>
    </row>
    <row r="200" spans="3:30" x14ac:dyDescent="0.25">
      <c r="V200" s="14"/>
      <c r="Z200" s="10"/>
      <c r="AA200" s="10"/>
      <c r="AB200" s="13"/>
      <c r="AD200" s="10"/>
    </row>
    <row r="201" spans="3:30" x14ac:dyDescent="0.25">
      <c r="Z201" s="10"/>
      <c r="AA201" s="10"/>
      <c r="AB201" s="13"/>
      <c r="AD201" s="10"/>
    </row>
    <row r="202" spans="3:30" x14ac:dyDescent="0.25">
      <c r="Z202" s="10"/>
      <c r="AA202" s="10"/>
      <c r="AB202" s="13"/>
      <c r="AD202" s="10"/>
    </row>
    <row r="203" spans="3:30" x14ac:dyDescent="0.25">
      <c r="Z203" s="10"/>
      <c r="AA203" s="10"/>
      <c r="AB203" s="13"/>
      <c r="AD203" s="10"/>
    </row>
    <row r="204" spans="3:30" x14ac:dyDescent="0.25">
      <c r="Z204" s="10"/>
      <c r="AA204" s="10"/>
      <c r="AB204" s="13"/>
      <c r="AD204" s="10"/>
    </row>
    <row r="205" spans="3:30" x14ac:dyDescent="0.25">
      <c r="Z205" s="10"/>
      <c r="AA205" s="10"/>
      <c r="AB205" s="13"/>
      <c r="AD205" s="10"/>
    </row>
    <row r="206" spans="3:30" x14ac:dyDescent="0.25">
      <c r="Z206" s="10"/>
      <c r="AA206" s="10"/>
      <c r="AB206" s="13"/>
      <c r="AD206" s="10"/>
    </row>
    <row r="207" spans="3:30" x14ac:dyDescent="0.25">
      <c r="Z207" s="10"/>
      <c r="AA207" s="10"/>
      <c r="AB207" s="13"/>
      <c r="AD207" s="10"/>
    </row>
    <row r="208" spans="3:30" x14ac:dyDescent="0.25">
      <c r="Z208" s="10"/>
      <c r="AA208" s="10"/>
      <c r="AB208" s="13"/>
      <c r="AD208" s="10"/>
    </row>
    <row r="209" spans="24:30" x14ac:dyDescent="0.25">
      <c r="Z209" s="10"/>
      <c r="AA209" s="10"/>
      <c r="AB209" s="13"/>
      <c r="AD209" s="10"/>
    </row>
    <row r="210" spans="24:30" x14ac:dyDescent="0.25">
      <c r="Z210" s="10"/>
      <c r="AA210" s="10"/>
      <c r="AB210" s="13"/>
      <c r="AD210" s="10"/>
    </row>
    <row r="211" spans="24:30" x14ac:dyDescent="0.25">
      <c r="Z211" s="10"/>
      <c r="AA211" s="10"/>
      <c r="AB211" s="13"/>
      <c r="AD211" s="10"/>
    </row>
    <row r="212" spans="24:30" x14ac:dyDescent="0.25">
      <c r="Z212" s="10"/>
      <c r="AA212" s="10"/>
      <c r="AB212" s="13"/>
      <c r="AD212" s="10"/>
    </row>
    <row r="213" spans="24:30" x14ac:dyDescent="0.25">
      <c r="Z213" s="10"/>
      <c r="AA213" s="10"/>
      <c r="AB213" s="13"/>
    </row>
    <row r="214" spans="24:30" x14ac:dyDescent="0.25">
      <c r="Z214" s="10"/>
      <c r="AA214" s="10"/>
      <c r="AB214" s="13"/>
    </row>
    <row r="215" spans="24:30" x14ac:dyDescent="0.25">
      <c r="Z215" s="10"/>
      <c r="AA215" s="10"/>
      <c r="AB215" s="13"/>
    </row>
    <row r="216" spans="24:30" x14ac:dyDescent="0.25">
      <c r="Z216" s="10"/>
      <c r="AA216" s="10"/>
      <c r="AB216" s="13"/>
    </row>
    <row r="217" spans="24:30" x14ac:dyDescent="0.25">
      <c r="X217" s="10"/>
      <c r="Y217" s="13"/>
      <c r="Z217" s="10"/>
      <c r="AA217" s="10"/>
      <c r="AB217" s="13"/>
    </row>
    <row r="218" spans="24:30" x14ac:dyDescent="0.25">
      <c r="X218" s="10"/>
      <c r="Y218" s="13"/>
    </row>
    <row r="219" spans="24:30" x14ac:dyDescent="0.25">
      <c r="X219" s="10"/>
      <c r="Y219" s="13"/>
    </row>
    <row r="220" spans="24:30" x14ac:dyDescent="0.25">
      <c r="X220" s="10"/>
      <c r="Y220" s="13"/>
    </row>
    <row r="221" spans="24:30" x14ac:dyDescent="0.25">
      <c r="X221" s="10"/>
      <c r="Y221" s="13"/>
    </row>
  </sheetData>
  <sheetProtection password="E3E2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A171"/>
  <sheetViews>
    <sheetView zoomScaleNormal="100" workbookViewId="0">
      <selection activeCell="M18" sqref="M18"/>
    </sheetView>
  </sheetViews>
  <sheetFormatPr baseColWidth="10" defaultRowHeight="15" x14ac:dyDescent="0.25"/>
  <cols>
    <col min="8" max="8" width="12" bestFit="1" customWidth="1"/>
    <col min="33" max="37" width="12.5703125" customWidth="1"/>
    <col min="62" max="62" width="17.140625" customWidth="1"/>
    <col min="101" max="101" width="13.85546875" customWidth="1"/>
    <col min="104" max="104" width="14.28515625" customWidth="1"/>
  </cols>
  <sheetData>
    <row r="8" spans="2:45" x14ac:dyDescent="0.25">
      <c r="B8" t="s">
        <v>0</v>
      </c>
      <c r="C8" t="s">
        <v>1</v>
      </c>
      <c r="D8" t="s">
        <v>2</v>
      </c>
      <c r="E8" t="s">
        <v>3</v>
      </c>
      <c r="H8" t="s">
        <v>197</v>
      </c>
    </row>
    <row r="9" spans="2:45" x14ac:dyDescent="0.25">
      <c r="B9">
        <v>1000</v>
      </c>
      <c r="C9">
        <f>INDEX(Z28:Z159,MATCH(B9,Y28:Y159,0))</f>
        <v>110</v>
      </c>
      <c r="D9">
        <f>INDEX(AA28:AA159,MATCH(B9,Y28:Y159,0))</f>
        <v>27.2</v>
      </c>
      <c r="E9">
        <f>INDEX(AB28:AB159,MATCH(B9,Y28:Y159,0))</f>
        <v>24.4</v>
      </c>
      <c r="H9" s="10">
        <f>-(D9-D10)/(C10-C9)*1000</f>
        <v>-6.9209039548022604</v>
      </c>
    </row>
    <row r="10" spans="2:45" x14ac:dyDescent="0.25">
      <c r="B10">
        <v>850</v>
      </c>
      <c r="C10">
        <f>INDEX(Z28:Z159,MATCH(B10,Y28:Y159,0))</f>
        <v>1526</v>
      </c>
      <c r="D10">
        <f>INDEX(AA28:AA159,MATCH(B10,Y28:Y159,0))</f>
        <v>17.399999999999999</v>
      </c>
      <c r="E10">
        <f>INDEX(AB28:AB159,MATCH(B10,Y28:Y159,0))</f>
        <v>15.1</v>
      </c>
      <c r="H10" s="10">
        <f>-(D10-D11)/(C11-C10)*1000</f>
        <v>-4.8810250152532024</v>
      </c>
    </row>
    <row r="11" spans="2:45" ht="18.75" x14ac:dyDescent="0.25">
      <c r="B11">
        <v>700</v>
      </c>
      <c r="C11">
        <f>INDEX(Z28:Z159,MATCH(B11,Y28:Y159,0))</f>
        <v>3165</v>
      </c>
      <c r="D11">
        <f>INDEX(AA28:AA159,MATCH(B11,Y28:Y159,0))</f>
        <v>9.4</v>
      </c>
      <c r="E11">
        <f>INDEX(AB28:AB159,MATCH(B11,Y28:Y159,0))</f>
        <v>-8.6</v>
      </c>
      <c r="H11" s="10">
        <f t="shared" ref="H11:H15" si="0">-(D11-D12)/(C12-C11)*1000</f>
        <v>-5.9519408502772642</v>
      </c>
      <c r="Y11" s="36" t="s">
        <v>47</v>
      </c>
      <c r="AD11" s="30" t="s">
        <v>38</v>
      </c>
      <c r="AE11" s="31">
        <f>(D10-D12)+E10-(D11-E11)</f>
        <v>21.199999999999996</v>
      </c>
      <c r="AG11" s="162" t="s">
        <v>69</v>
      </c>
      <c r="AH11" s="19"/>
      <c r="AI11" s="19"/>
      <c r="AJ11" s="19"/>
      <c r="AK11" s="19"/>
    </row>
    <row r="12" spans="2:45" ht="15.75" thickBot="1" x14ac:dyDescent="0.3">
      <c r="B12">
        <v>500</v>
      </c>
      <c r="C12">
        <f>INDEX(Z28:Z159,MATCH(B12,Y28:Y159,0))</f>
        <v>5870</v>
      </c>
      <c r="D12">
        <f>INDEX(AA28:AA159,MATCH(B12,Y28:Y159,0))</f>
        <v>-6.7</v>
      </c>
      <c r="E12">
        <f>INDEX(AB28:AB159,MATCH(B12,Y28:Y159,0))</f>
        <v>-23.7</v>
      </c>
      <c r="H12" s="10">
        <f t="shared" si="0"/>
        <v>-4.5348837209302317</v>
      </c>
      <c r="AG12" s="19" t="s">
        <v>67</v>
      </c>
      <c r="AH12" s="19"/>
      <c r="AI12" s="19"/>
      <c r="AJ12" s="19"/>
      <c r="AK12" s="19"/>
    </row>
    <row r="13" spans="2:45" ht="26.25" thickBot="1" x14ac:dyDescent="0.3">
      <c r="B13">
        <v>400</v>
      </c>
      <c r="C13">
        <f>INDEX(Z28:Z159,MATCH(B13,Y28:Y159,0))</f>
        <v>7590</v>
      </c>
      <c r="D13">
        <f>INDEX(AA28:AA159,MATCH(C13,Z28:Z159,0))</f>
        <v>-14.5</v>
      </c>
      <c r="E13">
        <f>INDEX(AB28:AB159,MATCH(D13,AA28:AA159,0))</f>
        <v>-46.5</v>
      </c>
      <c r="H13" s="10">
        <f t="shared" si="0"/>
        <v>-7.0754716981132075</v>
      </c>
      <c r="Y13" s="32" t="s">
        <v>46</v>
      </c>
      <c r="Z13" s="33" t="s">
        <v>39</v>
      </c>
      <c r="AG13" s="163" t="s">
        <v>68</v>
      </c>
      <c r="AH13" s="164">
        <f>(D10-D12)+(E10-D12)</f>
        <v>45.9</v>
      </c>
      <c r="AI13" s="19"/>
      <c r="AJ13" s="19"/>
      <c r="AK13" s="19"/>
      <c r="AS13" s="19"/>
    </row>
    <row r="14" spans="2:45" ht="16.5" thickBot="1" x14ac:dyDescent="0.3">
      <c r="B14">
        <v>300</v>
      </c>
      <c r="C14">
        <f>INDEX(Z28:Z159,MATCH(B14,Y28:Y159,0))</f>
        <v>9710</v>
      </c>
      <c r="D14">
        <f>INDEX(AA28:AA159,MATCH(C14,Z28:Z159,0))</f>
        <v>-29.5</v>
      </c>
      <c r="E14">
        <f>INDEX(AB28:AB159,MATCH(D14,AA28:AA159,0))</f>
        <v>-55.5</v>
      </c>
      <c r="H14" s="10">
        <f t="shared" si="0"/>
        <v>-8.7591240875912408</v>
      </c>
      <c r="Y14" s="34" t="s">
        <v>40</v>
      </c>
      <c r="Z14" s="35" t="s">
        <v>41</v>
      </c>
      <c r="AF14" s="37"/>
      <c r="AG14" s="165" t="s">
        <v>82</v>
      </c>
      <c r="AH14" s="19" t="s">
        <v>70</v>
      </c>
      <c r="AI14" s="19"/>
      <c r="AJ14" s="19"/>
      <c r="AK14" s="19"/>
      <c r="AS14" s="19"/>
    </row>
    <row r="15" spans="2:45" ht="15.75" thickBot="1" x14ac:dyDescent="0.3">
      <c r="B15">
        <v>200</v>
      </c>
      <c r="C15">
        <f>INDEX(Z28:Z159,MATCH(B15,Y28:Y159,0))</f>
        <v>12450</v>
      </c>
      <c r="D15">
        <f>INDEX(AA28:AA159,MATCH(C15,Z28:Z159,0))</f>
        <v>-53.5</v>
      </c>
      <c r="E15">
        <f>INDEX(AB28:AB159,MATCH(D15,AA28:AA159,0))</f>
        <v>-56.9</v>
      </c>
      <c r="H15" s="10">
        <f t="shared" si="0"/>
        <v>-5.8653846153846168</v>
      </c>
      <c r="Y15" s="34" t="s">
        <v>42</v>
      </c>
      <c r="Z15" s="35" t="s">
        <v>43</v>
      </c>
      <c r="AG15" s="165" t="s">
        <v>71</v>
      </c>
      <c r="AH15" s="19" t="s">
        <v>72</v>
      </c>
      <c r="AI15" s="19"/>
      <c r="AJ15" s="19"/>
      <c r="AK15" s="19"/>
      <c r="AS15" s="19"/>
    </row>
    <row r="16" spans="2:45" ht="15.75" thickBot="1" x14ac:dyDescent="0.3">
      <c r="B16">
        <v>100</v>
      </c>
      <c r="C16">
        <f>INDEX(Z28:Z159,MATCH(B16,Y28:Y159,0))</f>
        <v>16610</v>
      </c>
      <c r="D16">
        <f>INDEX(AA28:AA159,MATCH(C16,Z28:Z159,0))</f>
        <v>-77.900000000000006</v>
      </c>
      <c r="E16">
        <f>INDEX(AB28:AB159,MATCH(D16,AA28:AA159,0))</f>
        <v>-86.9</v>
      </c>
      <c r="H16" s="10"/>
      <c r="Y16" s="34" t="s">
        <v>44</v>
      </c>
      <c r="Z16" s="35" t="s">
        <v>45</v>
      </c>
      <c r="AG16" s="165" t="s">
        <v>73</v>
      </c>
      <c r="AH16" s="19" t="s">
        <v>74</v>
      </c>
      <c r="AI16" s="19"/>
      <c r="AJ16" s="19"/>
      <c r="AK16" s="19"/>
      <c r="AS16" s="166"/>
    </row>
    <row r="17" spans="1:104" x14ac:dyDescent="0.25">
      <c r="AG17" s="165" t="s">
        <v>77</v>
      </c>
      <c r="AH17" s="19" t="s">
        <v>75</v>
      </c>
      <c r="AI17" s="19"/>
      <c r="AJ17" s="19"/>
      <c r="AK17" s="19"/>
      <c r="AS17" s="166"/>
    </row>
    <row r="18" spans="1:104" x14ac:dyDescent="0.25">
      <c r="B18" t="s">
        <v>130</v>
      </c>
      <c r="E18" s="56">
        <f>C12-C9</f>
        <v>5760</v>
      </c>
      <c r="AG18" s="165" t="s">
        <v>81</v>
      </c>
      <c r="AH18" s="19" t="s">
        <v>76</v>
      </c>
      <c r="AI18" s="19"/>
      <c r="AJ18" s="19"/>
      <c r="AK18" s="19"/>
      <c r="AS18" s="166"/>
    </row>
    <row r="19" spans="1:104" x14ac:dyDescent="0.25">
      <c r="AS19" s="166"/>
    </row>
    <row r="20" spans="1:104" x14ac:dyDescent="0.25">
      <c r="A20" s="6"/>
      <c r="B20" s="6"/>
      <c r="C20" s="6"/>
      <c r="D20" s="6"/>
      <c r="E20" s="6"/>
      <c r="F20" s="6"/>
      <c r="G20" s="6"/>
      <c r="H20" s="6"/>
      <c r="I20" s="6"/>
      <c r="AS20" s="167"/>
      <c r="BR20" t="s">
        <v>54</v>
      </c>
    </row>
    <row r="21" spans="1:104" x14ac:dyDescent="0.25">
      <c r="A21" s="6"/>
      <c r="B21" s="6"/>
      <c r="C21" s="6"/>
      <c r="D21" s="6"/>
      <c r="E21" s="6"/>
      <c r="F21" s="6"/>
      <c r="G21" s="6"/>
      <c r="H21" s="6"/>
      <c r="I21" s="6"/>
      <c r="M21" s="9"/>
      <c r="N21" s="9"/>
      <c r="BR21" s="13">
        <f>'Eingabe Diagramme'!P7</f>
        <v>28</v>
      </c>
    </row>
    <row r="22" spans="1:104" ht="23.25" x14ac:dyDescent="0.3">
      <c r="A22" s="6"/>
      <c r="B22" s="2" t="str">
        <f>'Eingabe Diagramme'!B15</f>
        <v>48698 WSSS Singapore Observations at 00Z 20 Sep 2019</v>
      </c>
      <c r="I22" s="6"/>
      <c r="L22" s="4" t="s">
        <v>20</v>
      </c>
      <c r="Y22" s="4" t="s">
        <v>16</v>
      </c>
      <c r="AP22" s="4" t="s">
        <v>11</v>
      </c>
      <c r="AQ22" s="4"/>
    </row>
    <row r="23" spans="1:104" x14ac:dyDescent="0.25">
      <c r="A23" s="6"/>
      <c r="B23" s="21">
        <f>'Eingabe Diagramme'!B16</f>
        <v>0</v>
      </c>
      <c r="C23" s="19"/>
      <c r="D23" s="19"/>
      <c r="E23" s="19"/>
      <c r="F23" s="19"/>
      <c r="G23" s="19"/>
      <c r="H23" s="19"/>
      <c r="I23" s="6"/>
      <c r="J23" s="19"/>
      <c r="K23" s="19"/>
      <c r="L23" t="s">
        <v>23</v>
      </c>
      <c r="Y23" t="s">
        <v>24</v>
      </c>
      <c r="AP23" t="s">
        <v>33</v>
      </c>
    </row>
    <row r="24" spans="1:104" ht="17.25" x14ac:dyDescent="0.25">
      <c r="A24" s="6"/>
      <c r="B24" s="21" t="str">
        <f>'Eingabe Diagramme'!B17</f>
        <v>-----------------------------------------------------------------------------</v>
      </c>
      <c r="C24" s="19"/>
      <c r="D24" s="19"/>
      <c r="E24" s="19"/>
      <c r="F24" s="19"/>
      <c r="G24" s="19"/>
      <c r="H24" s="19"/>
      <c r="I24" s="6"/>
      <c r="J24" s="19"/>
      <c r="K24" s="19"/>
      <c r="BQ24" s="24" t="s">
        <v>28</v>
      </c>
      <c r="CV24" t="s">
        <v>132</v>
      </c>
    </row>
    <row r="25" spans="1:104" x14ac:dyDescent="0.25">
      <c r="A25" s="6"/>
      <c r="B25" s="21" t="str">
        <f>'Eingabe Diagramme'!B18</f>
        <v xml:space="preserve">   PRES   HGHT   TEMP   DWPT   RELH   MIXR   DRCT   SKNT   THTA   THTE   THTV</v>
      </c>
      <c r="C25" s="19"/>
      <c r="D25" s="19"/>
      <c r="E25" s="19"/>
      <c r="F25" s="19"/>
      <c r="G25" s="19"/>
      <c r="H25" s="19"/>
      <c r="I25" s="6"/>
      <c r="J25" s="19"/>
      <c r="K25" s="19"/>
      <c r="L25" t="s">
        <v>15</v>
      </c>
      <c r="Z25" s="13"/>
    </row>
    <row r="26" spans="1:104" ht="22.5" x14ac:dyDescent="0.25">
      <c r="A26" s="5"/>
      <c r="B26" s="21" t="str">
        <f>'Eingabe Diagramme'!B19</f>
        <v xml:space="preserve">    hPa     m      C      C      %    g/kg    deg   knot     K      K      K </v>
      </c>
      <c r="C26" s="197"/>
      <c r="D26" s="197"/>
      <c r="E26" s="197"/>
      <c r="F26" s="197"/>
      <c r="G26" s="197"/>
      <c r="H26" s="197"/>
      <c r="I26" s="20"/>
      <c r="J26" s="19"/>
      <c r="K26" s="19"/>
      <c r="L26" t="s">
        <v>0</v>
      </c>
      <c r="M26" t="s">
        <v>1</v>
      </c>
      <c r="N26" t="s">
        <v>2</v>
      </c>
      <c r="O26" t="s">
        <v>3</v>
      </c>
      <c r="P26" t="s">
        <v>4</v>
      </c>
      <c r="Q26" t="s">
        <v>7</v>
      </c>
      <c r="R26" t="s">
        <v>8</v>
      </c>
      <c r="S26" t="s">
        <v>9</v>
      </c>
      <c r="T26" t="s">
        <v>34</v>
      </c>
      <c r="U26" t="s">
        <v>35</v>
      </c>
      <c r="V26" t="s">
        <v>36</v>
      </c>
      <c r="Y26" t="s">
        <v>0</v>
      </c>
      <c r="Z26" t="s">
        <v>1</v>
      </c>
      <c r="AA26" t="s">
        <v>2</v>
      </c>
      <c r="AB26" t="s">
        <v>3</v>
      </c>
      <c r="AC26" t="s">
        <v>4</v>
      </c>
      <c r="AD26" t="s">
        <v>7</v>
      </c>
      <c r="AE26" t="s">
        <v>8</v>
      </c>
      <c r="AF26" t="s">
        <v>9</v>
      </c>
      <c r="AG26" s="26" t="s">
        <v>31</v>
      </c>
      <c r="AH26" t="s">
        <v>48</v>
      </c>
      <c r="AI26" t="s">
        <v>49</v>
      </c>
      <c r="AJ26" t="s">
        <v>50</v>
      </c>
      <c r="AK26" s="26" t="s">
        <v>51</v>
      </c>
      <c r="AL26" s="26" t="s">
        <v>52</v>
      </c>
      <c r="AM26" s="26" t="s">
        <v>53</v>
      </c>
      <c r="AP26" t="s">
        <v>3</v>
      </c>
      <c r="AQ26" t="s">
        <v>1</v>
      </c>
      <c r="AR26" t="s">
        <v>2</v>
      </c>
      <c r="AS26" t="s">
        <v>1</v>
      </c>
      <c r="AV26" t="s">
        <v>10</v>
      </c>
      <c r="AW26" t="s">
        <v>1</v>
      </c>
      <c r="AY26" t="s">
        <v>12</v>
      </c>
      <c r="AZ26" t="s">
        <v>1</v>
      </c>
      <c r="BD26" t="s">
        <v>13</v>
      </c>
      <c r="BE26" t="s">
        <v>1</v>
      </c>
      <c r="BG26" t="s">
        <v>17</v>
      </c>
      <c r="BH26" t="s">
        <v>1</v>
      </c>
      <c r="BJ26" t="s">
        <v>18</v>
      </c>
      <c r="BK26" t="s">
        <v>1</v>
      </c>
      <c r="BM26" t="s">
        <v>19</v>
      </c>
      <c r="BN26" t="s">
        <v>1</v>
      </c>
      <c r="BQ26" t="s">
        <v>2</v>
      </c>
      <c r="BS26" t="s">
        <v>1</v>
      </c>
      <c r="CV26" t="s">
        <v>127</v>
      </c>
      <c r="CW26" t="s">
        <v>133</v>
      </c>
      <c r="CY26" t="s">
        <v>127</v>
      </c>
      <c r="CZ26" t="s">
        <v>133</v>
      </c>
    </row>
    <row r="27" spans="1:104" x14ac:dyDescent="0.25">
      <c r="A27" s="7" t="s">
        <v>5</v>
      </c>
      <c r="B27" s="21" t="str">
        <f>'Eingabe Diagramme'!B20</f>
        <v>-----------------------------------------------------------------------------</v>
      </c>
      <c r="C27" s="197"/>
      <c r="D27" s="197"/>
      <c r="E27" s="197"/>
      <c r="F27" s="197"/>
      <c r="G27" s="197"/>
      <c r="H27" s="197"/>
      <c r="I27" s="20"/>
      <c r="J27" s="19"/>
      <c r="K27" s="19"/>
      <c r="Y27" t="str">
        <f>MID(K27,2,6)</f>
        <v/>
      </c>
      <c r="Z27" t="str">
        <f>MID(K27,10,5)</f>
        <v/>
      </c>
      <c r="AA27" t="str">
        <f>MID(K27,17,5)</f>
        <v/>
      </c>
      <c r="AB27" t="str">
        <f>MID(K27,24,5)</f>
        <v/>
      </c>
      <c r="AC27" t="str">
        <f>MID(K27,33,3)</f>
        <v/>
      </c>
      <c r="AD27" t="str">
        <f>MID(K27,38,5)</f>
        <v/>
      </c>
      <c r="AE27" t="str">
        <f>MID(K27,47,3)</f>
        <v/>
      </c>
      <c r="AF27" t="str">
        <f>MID(K27,54,3)</f>
        <v/>
      </c>
      <c r="AG27" s="26"/>
      <c r="AH27" s="26"/>
      <c r="AI27" s="26"/>
      <c r="AJ27" s="26"/>
      <c r="AK27" s="26"/>
      <c r="BM27" t="s">
        <v>32</v>
      </c>
      <c r="BV27" t="s">
        <v>0</v>
      </c>
      <c r="BW27" t="s">
        <v>1</v>
      </c>
      <c r="BZ27" t="s">
        <v>2</v>
      </c>
      <c r="CA27" t="s">
        <v>0</v>
      </c>
      <c r="CB27" t="s">
        <v>3</v>
      </c>
    </row>
    <row r="28" spans="1:104" x14ac:dyDescent="0.25">
      <c r="A28" s="8"/>
      <c r="B28" s="21" t="str">
        <f>'Eingabe Diagramme'!B21</f>
        <v xml:space="preserve"> 1010.0     16   28.2   25.0     83  20.23    305      4  300.5  360.2  304.1</v>
      </c>
      <c r="C28" s="19"/>
      <c r="D28" s="19"/>
      <c r="E28" s="19"/>
      <c r="F28" s="19"/>
      <c r="G28" s="19"/>
      <c r="H28" s="19"/>
      <c r="I28" s="20"/>
      <c r="J28" s="19"/>
      <c r="K28" s="19"/>
      <c r="L28" s="11" t="str">
        <f>MID(B28,1,7)</f>
        <v xml:space="preserve"> 1010.0</v>
      </c>
      <c r="M28" s="12" t="str">
        <f t="shared" ref="M28:M91" si="1">MID(B28,10,5)</f>
        <v xml:space="preserve">   16</v>
      </c>
      <c r="N28" s="11" t="str">
        <f t="shared" ref="N28:N91" si="2">MID(B28,17,5)</f>
        <v xml:space="preserve"> 28.2</v>
      </c>
      <c r="O28" s="11" t="str">
        <f t="shared" ref="O28:O91" si="3">MID(B28,24,5)</f>
        <v xml:space="preserve"> 25.0</v>
      </c>
      <c r="P28" s="11" t="str">
        <f t="shared" ref="P28:P91" si="4">MID(B28,33,3)</f>
        <v xml:space="preserve"> 83</v>
      </c>
      <c r="Q28" s="11" t="str">
        <f t="shared" ref="Q28:Q91" si="5">MID(B28,38,5)</f>
        <v>20.23</v>
      </c>
      <c r="R28" s="11" t="str">
        <f t="shared" ref="R28:R91" si="6">MID(B28,47,3)</f>
        <v>305</v>
      </c>
      <c r="S28" s="11" t="str">
        <f>MID(B28,54,3)</f>
        <v xml:space="preserve">  4</v>
      </c>
      <c r="T28" s="11" t="str">
        <f>MID(B28,59,5)</f>
        <v>300.5</v>
      </c>
      <c r="U28" s="11" t="str">
        <f>MID(B28,66,5)</f>
        <v>360.2</v>
      </c>
      <c r="V28" s="11" t="str">
        <f>MID(B28,73,5)</f>
        <v>304.1</v>
      </c>
      <c r="W28" s="11"/>
      <c r="Y28" s="13">
        <f t="shared" ref="Y28:Y59" si="7">SUBSTITUTE(L28,".",",")*1</f>
        <v>1010</v>
      </c>
      <c r="Z28" s="13">
        <f t="shared" ref="Z28:Z59" si="8">SUBSTITUTE(M28,".",",")*1</f>
        <v>16</v>
      </c>
      <c r="AA28" s="10">
        <f t="shared" ref="AA28:AA59" si="9">SUBSTITUTE(N28,".",",")*1</f>
        <v>28.2</v>
      </c>
      <c r="AB28" s="10">
        <f t="shared" ref="AB28:AB59" si="10">SUBSTITUTE(O28,".",",")*1</f>
        <v>25</v>
      </c>
      <c r="AC28" s="13">
        <f t="shared" ref="AC28:AC59" si="11">SUBSTITUTE(P28,".",",")*1</f>
        <v>83</v>
      </c>
      <c r="AD28" s="9">
        <f t="shared" ref="AD28:AD59" si="12">SUBSTITUTE(Q28,".",",")*1</f>
        <v>20.23</v>
      </c>
      <c r="AE28" s="13">
        <f t="shared" ref="AE28:AE59" si="13">SUBSTITUTE(R28,".",",")*1</f>
        <v>305</v>
      </c>
      <c r="AF28" s="13">
        <f t="shared" ref="AF28:AF59" si="14">SUBSTITUTE(S28,".",",")*1</f>
        <v>4</v>
      </c>
      <c r="AG28" s="27">
        <f>AF28*1.852</f>
        <v>7.4080000000000004</v>
      </c>
      <c r="AH28" s="29">
        <f>SUBSTITUTE(T28,".",",")*1</f>
        <v>300.5</v>
      </c>
      <c r="AI28" s="29">
        <f>SUBSTITUTE(U28,".",",")*1</f>
        <v>360.2</v>
      </c>
      <c r="AJ28" s="29">
        <f>SUBSTITUTE(V28,".",",")*1</f>
        <v>304.10000000000002</v>
      </c>
      <c r="AK28" s="27">
        <f>AH28-273.15</f>
        <v>27.350000000000023</v>
      </c>
      <c r="AL28" s="27">
        <f>AI28-273.15</f>
        <v>87.050000000000011</v>
      </c>
      <c r="AM28" s="27">
        <f>AJ28-273.15</f>
        <v>30.950000000000045</v>
      </c>
      <c r="AP28" s="10">
        <f>IFERROR(AB28,-999)</f>
        <v>25</v>
      </c>
      <c r="AQ28" s="13">
        <f>IFERROR(Z28,-999)</f>
        <v>16</v>
      </c>
      <c r="AR28" s="10">
        <f>IFERROR(AA28,-999)</f>
        <v>28.2</v>
      </c>
      <c r="AS28" s="13">
        <f>IFERROR(Z28,-999)</f>
        <v>16</v>
      </c>
      <c r="AV28" s="13">
        <f>IFERROR(Y28,-999)</f>
        <v>1010</v>
      </c>
      <c r="AW28" s="13">
        <f>IFERROR(Z28,-999)</f>
        <v>16</v>
      </c>
      <c r="AY28" s="13">
        <f>IFERROR(AC28,-999)</f>
        <v>83</v>
      </c>
      <c r="AZ28" s="13">
        <f>IFERROR(Z28,-999)</f>
        <v>16</v>
      </c>
      <c r="BA28" s="13"/>
      <c r="BB28" s="13"/>
      <c r="BC28" s="10">
        <f>IF(BE28=-999,-999,AR28-AP28)</f>
        <v>3.1999999999999993</v>
      </c>
      <c r="BD28" s="10">
        <f>IFERROR(BC28,-999)</f>
        <v>3.1999999999999993</v>
      </c>
      <c r="BE28" s="13">
        <f>IFERROR(Z28,-999)</f>
        <v>16</v>
      </c>
      <c r="BG28" s="9">
        <f>IFERROR(AD28,-999)</f>
        <v>20.23</v>
      </c>
      <c r="BH28" s="13">
        <f>IFERROR(Z28,-999)</f>
        <v>16</v>
      </c>
      <c r="BJ28" s="13">
        <f>IFERROR(AE28,-999)</f>
        <v>305</v>
      </c>
      <c r="BK28" s="13">
        <f>IFERROR(Z28,-999)</f>
        <v>16</v>
      </c>
      <c r="BL28" s="13"/>
      <c r="BM28" s="13">
        <f>IFERROR(AG28,-999)</f>
        <v>7.4080000000000004</v>
      </c>
      <c r="BN28" s="13">
        <f>IFERROR(Z28,-999)</f>
        <v>16</v>
      </c>
      <c r="BO28" s="13"/>
      <c r="BP28" s="13"/>
      <c r="BQ28" s="10"/>
      <c r="BR28" s="40">
        <f>$BR$21-(6.5/1000)*BS28</f>
        <v>28</v>
      </c>
      <c r="BS28">
        <v>0</v>
      </c>
      <c r="BT28" s="13"/>
      <c r="BV28" s="25">
        <f t="shared" ref="BV28:BV59" si="15">1013.25*(1-(0.0065*BW28/288.15))^5.255</f>
        <v>1013.25</v>
      </c>
      <c r="BW28">
        <v>0</v>
      </c>
      <c r="BX28" s="13"/>
      <c r="BZ28" s="10">
        <f t="shared" ref="BZ28:BZ59" si="16">IFERROR(AA28,-999)</f>
        <v>28.2</v>
      </c>
      <c r="CA28" s="13">
        <f t="shared" ref="CA28:CA59" si="17">IFERROR(Y28,-999)</f>
        <v>1010</v>
      </c>
      <c r="CB28" s="9">
        <f t="shared" ref="CB28:CB59" si="18">IFERROR(AB28,-999)</f>
        <v>25</v>
      </c>
      <c r="CC28" s="13">
        <f>IFERROR(Y28,-999)</f>
        <v>1010</v>
      </c>
      <c r="CD28">
        <f>IFERROR(Z28,-999)</f>
        <v>16</v>
      </c>
      <c r="CE28" s="13">
        <f>IFERROR(Y28,-999)</f>
        <v>1010</v>
      </c>
      <c r="CF28" s="13"/>
      <c r="CV28" s="9">
        <f>Y28*100/(287.058*(AA28+273.15))</f>
        <v>1.1675635363771524</v>
      </c>
      <c r="CW28" s="9">
        <f>(CV28+CV29)/2*(AD28+AD29)/2*(Z29-Z28)</f>
        <v>212.24568875623615</v>
      </c>
      <c r="CX28" s="9"/>
      <c r="CY28" s="9">
        <f>IFERROR(CV28,"")</f>
        <v>1.1675635363771524</v>
      </c>
      <c r="CZ28" s="9">
        <f>IFERROR(CW28,"")</f>
        <v>212.24568875623615</v>
      </c>
    </row>
    <row r="29" spans="1:104" x14ac:dyDescent="0.25">
      <c r="A29" s="8"/>
      <c r="B29" s="21" t="str">
        <f>'Eingabe Diagramme'!B22</f>
        <v xml:space="preserve"> 1009.0     25   28.1   24.9     83  20.18    105      2  300.5  360.0  304.1</v>
      </c>
      <c r="C29" s="19"/>
      <c r="D29" s="19"/>
      <c r="E29" s="19"/>
      <c r="F29" s="19"/>
      <c r="G29" s="19"/>
      <c r="H29" s="19"/>
      <c r="I29" s="20"/>
      <c r="J29" s="19"/>
      <c r="K29" s="19"/>
      <c r="L29" s="11" t="str">
        <f>MID(B29,1,7)</f>
        <v xml:space="preserve"> 1009.0</v>
      </c>
      <c r="M29" s="11" t="str">
        <f t="shared" si="1"/>
        <v xml:space="preserve">   25</v>
      </c>
      <c r="N29" s="11" t="str">
        <f t="shared" si="2"/>
        <v xml:space="preserve"> 28.1</v>
      </c>
      <c r="O29" s="11" t="str">
        <f t="shared" si="3"/>
        <v xml:space="preserve"> 24.9</v>
      </c>
      <c r="P29" s="11" t="str">
        <f t="shared" si="4"/>
        <v xml:space="preserve"> 83</v>
      </c>
      <c r="Q29" s="11" t="str">
        <f t="shared" si="5"/>
        <v>20.18</v>
      </c>
      <c r="R29" s="11" t="str">
        <f t="shared" si="6"/>
        <v>105</v>
      </c>
      <c r="S29" s="11" t="str">
        <f t="shared" ref="S29:S91" si="19">MID(B29,54,3)</f>
        <v xml:space="preserve">  2</v>
      </c>
      <c r="T29" s="11" t="str">
        <f t="shared" ref="T29:T92" si="20">MID(B29,59,5)</f>
        <v>300.5</v>
      </c>
      <c r="U29" s="11" t="str">
        <f t="shared" ref="U29:U92" si="21">MID(B29,66,5)</f>
        <v>360.0</v>
      </c>
      <c r="V29" s="11" t="str">
        <f t="shared" ref="V29:V92" si="22">MID(B29,73,5)</f>
        <v>304.1</v>
      </c>
      <c r="W29" s="11"/>
      <c r="Y29" s="13">
        <f t="shared" si="7"/>
        <v>1009</v>
      </c>
      <c r="Z29" s="13">
        <f t="shared" si="8"/>
        <v>25</v>
      </c>
      <c r="AA29" s="10">
        <f t="shared" si="9"/>
        <v>28.1</v>
      </c>
      <c r="AB29" s="10">
        <f t="shared" si="10"/>
        <v>24.9</v>
      </c>
      <c r="AC29" s="13">
        <f t="shared" si="11"/>
        <v>83</v>
      </c>
      <c r="AD29" s="9">
        <f t="shared" si="12"/>
        <v>20.18</v>
      </c>
      <c r="AE29" s="13">
        <f t="shared" si="13"/>
        <v>105</v>
      </c>
      <c r="AF29" s="13">
        <f t="shared" si="14"/>
        <v>2</v>
      </c>
      <c r="AG29" s="27">
        <f t="shared" ref="AG29:AG92" si="23">AF29*1.852</f>
        <v>3.7040000000000002</v>
      </c>
      <c r="AH29" s="29">
        <f t="shared" ref="AH29:AH92" si="24">SUBSTITUTE(T29,".",",")*1</f>
        <v>300.5</v>
      </c>
      <c r="AI29" s="29">
        <f t="shared" ref="AI29:AI92" si="25">SUBSTITUTE(U29,".",",")*1</f>
        <v>360</v>
      </c>
      <c r="AJ29" s="29">
        <f t="shared" ref="AJ29:AJ92" si="26">SUBSTITUTE(V29,".",",")*1</f>
        <v>304.10000000000002</v>
      </c>
      <c r="AK29" s="27">
        <f t="shared" ref="AK29:AK92" si="27">AH29-273.15</f>
        <v>27.350000000000023</v>
      </c>
      <c r="AL29" s="27">
        <f t="shared" ref="AL29:AL92" si="28">AI29-273.15</f>
        <v>86.850000000000023</v>
      </c>
      <c r="AM29" s="27">
        <f t="shared" ref="AM29:AM92" si="29">AJ29-273.15</f>
        <v>30.950000000000045</v>
      </c>
      <c r="AP29" s="10">
        <f t="shared" ref="AP29:AP92" si="30">IFERROR(AB29,-999)</f>
        <v>24.9</v>
      </c>
      <c r="AQ29" s="13">
        <f t="shared" ref="AQ29:AQ92" si="31">IFERROR(Z29,-999)</f>
        <v>25</v>
      </c>
      <c r="AR29" s="10">
        <f t="shared" ref="AR29:AR92" si="32">IFERROR(AA29,-999)</f>
        <v>28.1</v>
      </c>
      <c r="AS29" s="13">
        <f t="shared" ref="AS29:AS92" si="33">IFERROR(Z29,-999)</f>
        <v>25</v>
      </c>
      <c r="AV29" s="13">
        <f t="shared" ref="AV29:AV92" si="34">IFERROR(Y29,-999)</f>
        <v>1009</v>
      </c>
      <c r="AW29" s="13">
        <f t="shared" ref="AW29:AW92" si="35">IFERROR(Z29,-999)</f>
        <v>25</v>
      </c>
      <c r="AY29" s="13">
        <f t="shared" ref="AY29:AY92" si="36">IFERROR(AC29,-999)</f>
        <v>83</v>
      </c>
      <c r="AZ29" s="13">
        <f t="shared" ref="AZ29:AZ92" si="37">IFERROR(Z29,-999)</f>
        <v>25</v>
      </c>
      <c r="BA29" s="13"/>
      <c r="BB29" s="13"/>
      <c r="BC29" s="10">
        <f t="shared" ref="BC29:BC92" si="38">IF(BE29=-999,-999,AR29-AP29)</f>
        <v>3.2000000000000028</v>
      </c>
      <c r="BD29" s="10">
        <f t="shared" ref="BD29:BD92" si="39">IFERROR(BC29,-999)</f>
        <v>3.2000000000000028</v>
      </c>
      <c r="BE29" s="13">
        <f t="shared" ref="BE29:BE92" si="40">IFERROR(Z29,-999)</f>
        <v>25</v>
      </c>
      <c r="BG29" s="9">
        <f t="shared" ref="BG29:BG92" si="41">IFERROR(AD29,-999)</f>
        <v>20.18</v>
      </c>
      <c r="BH29" s="13">
        <f t="shared" ref="BH29:BH92" si="42">IFERROR(Z29,-999)</f>
        <v>25</v>
      </c>
      <c r="BJ29" s="13">
        <f t="shared" ref="BJ29:BJ92" si="43">IFERROR(AE29,-999)</f>
        <v>105</v>
      </c>
      <c r="BK29" s="13">
        <f t="shared" ref="BK29:BK92" si="44">IFERROR(Z29,-999)</f>
        <v>25</v>
      </c>
      <c r="BL29" s="13"/>
      <c r="BM29" s="13">
        <f t="shared" ref="BM29:BM92" si="45">IFERROR(AG29,-999)</f>
        <v>3.7040000000000002</v>
      </c>
      <c r="BN29" s="13">
        <f t="shared" ref="BN29:BN92" si="46">IFERROR(Z29,-999)</f>
        <v>25</v>
      </c>
      <c r="BO29" s="13"/>
      <c r="BP29" s="13"/>
      <c r="BQ29" s="10"/>
      <c r="BR29" s="10">
        <f>$BR$21-(6.5/1000)*BS29</f>
        <v>27.35</v>
      </c>
      <c r="BS29">
        <v>100</v>
      </c>
      <c r="BT29" s="13"/>
      <c r="BV29" s="25">
        <f t="shared" si="15"/>
        <v>1001.2963668583966</v>
      </c>
      <c r="BW29">
        <v>100</v>
      </c>
      <c r="BX29" s="13"/>
      <c r="BZ29" s="10">
        <f t="shared" si="16"/>
        <v>28.1</v>
      </c>
      <c r="CA29" s="13">
        <f t="shared" si="17"/>
        <v>1009</v>
      </c>
      <c r="CB29" s="9">
        <f t="shared" si="18"/>
        <v>24.9</v>
      </c>
      <c r="CC29" s="13">
        <f t="shared" ref="CC29:CC59" si="47">IFERROR(Y29,-999)</f>
        <v>1009</v>
      </c>
      <c r="CD29">
        <f t="shared" ref="CD29:CD92" si="48">IFERROR(Z29,-999)</f>
        <v>25</v>
      </c>
      <c r="CE29" s="13">
        <f t="shared" ref="CE29:CE92" si="49">IFERROR(Y29,-999)</f>
        <v>1009</v>
      </c>
      <c r="CF29" s="13"/>
      <c r="CV29" s="9">
        <f>Y29*100/(287.058*(AA29+273.15))</f>
        <v>1.1667947220983201</v>
      </c>
      <c r="CW29" s="9">
        <f t="shared" ref="CW29:CW92" si="50">(CV29+CV30)/2*(AD29+AD30)/2*(Z30-Z29)</f>
        <v>1971.2226538621894</v>
      </c>
      <c r="CX29" s="9"/>
      <c r="CY29" s="9">
        <f t="shared" ref="CY29:CY92" si="51">IFERROR(CV29,"")</f>
        <v>1.1667947220983201</v>
      </c>
      <c r="CZ29" s="9">
        <f t="shared" ref="CZ29:CZ92" si="52">IFERROR(CW29,"")</f>
        <v>1971.2226538621894</v>
      </c>
    </row>
    <row r="30" spans="1:104" x14ac:dyDescent="0.25">
      <c r="A30" s="8"/>
      <c r="B30" s="21" t="str">
        <f>'Eingabe Diagramme'!B23</f>
        <v xml:space="preserve"> 1000.0    110   27.2   24.4     85  19.69    105      3  300.4  358.4  303.9</v>
      </c>
      <c r="C30" s="19"/>
      <c r="D30" s="19"/>
      <c r="E30" s="19"/>
      <c r="F30" s="19"/>
      <c r="G30" s="19"/>
      <c r="H30" s="19"/>
      <c r="I30" s="20"/>
      <c r="J30" s="19"/>
      <c r="K30" s="19"/>
      <c r="L30" s="11" t="str">
        <f t="shared" ref="L30:L93" si="53">MID(B30,1,7)</f>
        <v xml:space="preserve"> 1000.0</v>
      </c>
      <c r="M30" s="11" t="str">
        <f t="shared" si="1"/>
        <v xml:space="preserve">  110</v>
      </c>
      <c r="N30" s="11" t="str">
        <f t="shared" si="2"/>
        <v xml:space="preserve"> 27.2</v>
      </c>
      <c r="O30" s="11" t="str">
        <f t="shared" si="3"/>
        <v xml:space="preserve"> 24.4</v>
      </c>
      <c r="P30" s="11" t="str">
        <f t="shared" si="4"/>
        <v xml:space="preserve"> 85</v>
      </c>
      <c r="Q30" s="11" t="str">
        <f t="shared" si="5"/>
        <v>19.69</v>
      </c>
      <c r="R30" s="11" t="str">
        <f t="shared" si="6"/>
        <v>105</v>
      </c>
      <c r="S30" s="11" t="str">
        <f t="shared" si="19"/>
        <v xml:space="preserve">  3</v>
      </c>
      <c r="T30" s="11" t="str">
        <f t="shared" si="20"/>
        <v>300.4</v>
      </c>
      <c r="U30" s="11" t="str">
        <f t="shared" si="21"/>
        <v>358.4</v>
      </c>
      <c r="V30" s="11" t="str">
        <f t="shared" si="22"/>
        <v>303.9</v>
      </c>
      <c r="W30" s="11"/>
      <c r="Y30" s="13">
        <f t="shared" si="7"/>
        <v>1000</v>
      </c>
      <c r="Z30" s="13">
        <f t="shared" si="8"/>
        <v>110</v>
      </c>
      <c r="AA30" s="10">
        <f t="shared" si="9"/>
        <v>27.2</v>
      </c>
      <c r="AB30" s="10">
        <f t="shared" si="10"/>
        <v>24.4</v>
      </c>
      <c r="AC30" s="13">
        <f t="shared" si="11"/>
        <v>85</v>
      </c>
      <c r="AD30" s="9">
        <f t="shared" si="12"/>
        <v>19.690000000000001</v>
      </c>
      <c r="AE30" s="13">
        <f t="shared" si="13"/>
        <v>105</v>
      </c>
      <c r="AF30" s="13">
        <f t="shared" si="14"/>
        <v>3</v>
      </c>
      <c r="AG30" s="27">
        <f t="shared" si="23"/>
        <v>5.556</v>
      </c>
      <c r="AH30" s="29">
        <f t="shared" si="24"/>
        <v>300.39999999999998</v>
      </c>
      <c r="AI30" s="29">
        <f t="shared" si="25"/>
        <v>358.4</v>
      </c>
      <c r="AJ30" s="29">
        <f t="shared" si="26"/>
        <v>303.89999999999998</v>
      </c>
      <c r="AK30" s="27">
        <f t="shared" si="27"/>
        <v>27.25</v>
      </c>
      <c r="AL30" s="27">
        <f t="shared" si="28"/>
        <v>85.25</v>
      </c>
      <c r="AM30" s="27">
        <f t="shared" si="29"/>
        <v>30.75</v>
      </c>
      <c r="AP30" s="10">
        <f t="shared" si="30"/>
        <v>24.4</v>
      </c>
      <c r="AQ30" s="13">
        <f t="shared" si="31"/>
        <v>110</v>
      </c>
      <c r="AR30" s="10">
        <f t="shared" si="32"/>
        <v>27.2</v>
      </c>
      <c r="AS30" s="13">
        <f t="shared" si="33"/>
        <v>110</v>
      </c>
      <c r="AV30" s="13">
        <f t="shared" si="34"/>
        <v>1000</v>
      </c>
      <c r="AW30" s="13">
        <f t="shared" si="35"/>
        <v>110</v>
      </c>
      <c r="AY30" s="13">
        <f t="shared" si="36"/>
        <v>85</v>
      </c>
      <c r="AZ30" s="13">
        <f t="shared" si="37"/>
        <v>110</v>
      </c>
      <c r="BA30" s="13"/>
      <c r="BB30" s="13"/>
      <c r="BC30" s="10">
        <f t="shared" si="38"/>
        <v>2.8000000000000007</v>
      </c>
      <c r="BD30" s="10">
        <f t="shared" si="39"/>
        <v>2.8000000000000007</v>
      </c>
      <c r="BE30" s="13">
        <f t="shared" si="40"/>
        <v>110</v>
      </c>
      <c r="BG30" s="9">
        <f t="shared" si="41"/>
        <v>19.690000000000001</v>
      </c>
      <c r="BH30" s="13">
        <f t="shared" si="42"/>
        <v>110</v>
      </c>
      <c r="BJ30" s="13">
        <f t="shared" si="43"/>
        <v>105</v>
      </c>
      <c r="BK30" s="13">
        <f t="shared" si="44"/>
        <v>110</v>
      </c>
      <c r="BL30" s="13"/>
      <c r="BM30" s="13">
        <f t="shared" si="45"/>
        <v>5.556</v>
      </c>
      <c r="BN30" s="13">
        <f t="shared" si="46"/>
        <v>110</v>
      </c>
      <c r="BO30" s="13"/>
      <c r="BP30" s="13"/>
      <c r="BQ30" s="10"/>
      <c r="BR30" s="10">
        <f t="shared" ref="BR30:BR93" si="54">$BR$21-(6.5/1000)*BS30</f>
        <v>26.7</v>
      </c>
      <c r="BS30">
        <v>200</v>
      </c>
      <c r="BT30" s="13"/>
      <c r="BV30" s="25">
        <f t="shared" si="15"/>
        <v>989.45717620672986</v>
      </c>
      <c r="BW30">
        <v>200</v>
      </c>
      <c r="BX30" s="13"/>
      <c r="BZ30" s="10">
        <f t="shared" si="16"/>
        <v>27.2</v>
      </c>
      <c r="CA30" s="13">
        <f t="shared" si="17"/>
        <v>1000</v>
      </c>
      <c r="CB30" s="9">
        <f t="shared" si="18"/>
        <v>24.4</v>
      </c>
      <c r="CC30" s="13">
        <f t="shared" si="47"/>
        <v>1000</v>
      </c>
      <c r="CD30">
        <f t="shared" si="48"/>
        <v>110</v>
      </c>
      <c r="CE30" s="13">
        <f t="shared" si="49"/>
        <v>1000</v>
      </c>
      <c r="CF30" s="13"/>
      <c r="CV30" s="9">
        <f t="shared" ref="CV30:CV93" si="55">Y30*100/(287.058*(AA30+273.15))</f>
        <v>1.1598523560376091</v>
      </c>
      <c r="CW30" s="9">
        <f t="shared" si="50"/>
        <v>5595.056174561294</v>
      </c>
      <c r="CX30" s="9"/>
      <c r="CY30" s="9">
        <f t="shared" si="51"/>
        <v>1.1598523560376091</v>
      </c>
      <c r="CZ30" s="9">
        <f t="shared" si="52"/>
        <v>5595.056174561294</v>
      </c>
    </row>
    <row r="31" spans="1:104" x14ac:dyDescent="0.25">
      <c r="A31" s="8"/>
      <c r="B31" s="21" t="str">
        <f>'Eingabe Diagramme'!B24</f>
        <v xml:space="preserve">  972.0    361   24.5   23.4     94  19.12    125     10  300.1  356.3  303.5</v>
      </c>
      <c r="C31" s="19"/>
      <c r="D31" s="19"/>
      <c r="E31" s="19"/>
      <c r="F31" s="19"/>
      <c r="G31" s="19"/>
      <c r="H31" s="19"/>
      <c r="I31" s="20"/>
      <c r="J31" s="19"/>
      <c r="K31" s="19"/>
      <c r="L31" s="11" t="str">
        <f t="shared" si="53"/>
        <v xml:space="preserve">  972.0</v>
      </c>
      <c r="M31" s="11" t="str">
        <f t="shared" si="1"/>
        <v xml:space="preserve">  361</v>
      </c>
      <c r="N31" s="11" t="str">
        <f t="shared" si="2"/>
        <v xml:space="preserve"> 24.5</v>
      </c>
      <c r="O31" s="11" t="str">
        <f t="shared" si="3"/>
        <v xml:space="preserve"> 23.4</v>
      </c>
      <c r="P31" s="11" t="str">
        <f t="shared" si="4"/>
        <v xml:space="preserve"> 94</v>
      </c>
      <c r="Q31" s="11" t="str">
        <f t="shared" si="5"/>
        <v>19.12</v>
      </c>
      <c r="R31" s="11" t="str">
        <f t="shared" si="6"/>
        <v>125</v>
      </c>
      <c r="S31" s="11" t="str">
        <f t="shared" si="19"/>
        <v xml:space="preserve"> 10</v>
      </c>
      <c r="T31" s="11" t="str">
        <f t="shared" si="20"/>
        <v>300.1</v>
      </c>
      <c r="U31" s="11" t="str">
        <f t="shared" si="21"/>
        <v>356.3</v>
      </c>
      <c r="V31" s="11" t="str">
        <f t="shared" si="22"/>
        <v>303.5</v>
      </c>
      <c r="W31" s="11"/>
      <c r="Y31" s="13">
        <f t="shared" si="7"/>
        <v>972</v>
      </c>
      <c r="Z31" s="13">
        <f t="shared" si="8"/>
        <v>361</v>
      </c>
      <c r="AA31" s="10">
        <f t="shared" si="9"/>
        <v>24.5</v>
      </c>
      <c r="AB31" s="10">
        <f t="shared" si="10"/>
        <v>23.4</v>
      </c>
      <c r="AC31" s="13">
        <f t="shared" si="11"/>
        <v>94</v>
      </c>
      <c r="AD31" s="9">
        <f t="shared" si="12"/>
        <v>19.12</v>
      </c>
      <c r="AE31" s="13">
        <f t="shared" si="13"/>
        <v>125</v>
      </c>
      <c r="AF31" s="13">
        <f t="shared" si="14"/>
        <v>10</v>
      </c>
      <c r="AG31" s="27">
        <f t="shared" si="23"/>
        <v>18.52</v>
      </c>
      <c r="AH31" s="29">
        <f t="shared" si="24"/>
        <v>300.10000000000002</v>
      </c>
      <c r="AI31" s="29">
        <f t="shared" si="25"/>
        <v>356.3</v>
      </c>
      <c r="AJ31" s="29">
        <f t="shared" si="26"/>
        <v>303.5</v>
      </c>
      <c r="AK31" s="27">
        <f t="shared" si="27"/>
        <v>26.950000000000045</v>
      </c>
      <c r="AL31" s="27">
        <f t="shared" si="28"/>
        <v>83.150000000000034</v>
      </c>
      <c r="AM31" s="27">
        <f t="shared" si="29"/>
        <v>30.350000000000023</v>
      </c>
      <c r="AP31" s="10">
        <f t="shared" si="30"/>
        <v>23.4</v>
      </c>
      <c r="AQ31" s="13">
        <f t="shared" si="31"/>
        <v>361</v>
      </c>
      <c r="AR31" s="10">
        <f t="shared" si="32"/>
        <v>24.5</v>
      </c>
      <c r="AS31" s="13">
        <f t="shared" si="33"/>
        <v>361</v>
      </c>
      <c r="AV31" s="13">
        <f t="shared" si="34"/>
        <v>972</v>
      </c>
      <c r="AW31" s="13">
        <f t="shared" si="35"/>
        <v>361</v>
      </c>
      <c r="AY31" s="13">
        <f t="shared" si="36"/>
        <v>94</v>
      </c>
      <c r="AZ31" s="13">
        <f t="shared" si="37"/>
        <v>361</v>
      </c>
      <c r="BA31" s="13"/>
      <c r="BB31" s="13"/>
      <c r="BC31" s="10">
        <f t="shared" si="38"/>
        <v>1.1000000000000014</v>
      </c>
      <c r="BD31" s="10">
        <f t="shared" si="39"/>
        <v>1.1000000000000014</v>
      </c>
      <c r="BE31" s="13">
        <f t="shared" si="40"/>
        <v>361</v>
      </c>
      <c r="BG31" s="9">
        <f t="shared" si="41"/>
        <v>19.12</v>
      </c>
      <c r="BH31" s="13">
        <f t="shared" si="42"/>
        <v>361</v>
      </c>
      <c r="BJ31" s="13">
        <f t="shared" si="43"/>
        <v>125</v>
      </c>
      <c r="BK31" s="13">
        <f t="shared" si="44"/>
        <v>361</v>
      </c>
      <c r="BL31" s="13"/>
      <c r="BM31" s="13">
        <f t="shared" si="45"/>
        <v>18.52</v>
      </c>
      <c r="BN31" s="13">
        <f t="shared" si="46"/>
        <v>361</v>
      </c>
      <c r="BO31" s="13"/>
      <c r="BP31" s="13"/>
      <c r="BQ31" s="10"/>
      <c r="BR31" s="10">
        <f t="shared" si="54"/>
        <v>26.05</v>
      </c>
      <c r="BS31">
        <v>300</v>
      </c>
      <c r="BT31" s="13"/>
      <c r="BV31" s="25">
        <f t="shared" si="15"/>
        <v>977.73158799424095</v>
      </c>
      <c r="BW31">
        <v>300</v>
      </c>
      <c r="BX31" s="13"/>
      <c r="BZ31" s="10">
        <f t="shared" si="16"/>
        <v>24.5</v>
      </c>
      <c r="CA31" s="13">
        <f t="shared" si="17"/>
        <v>972</v>
      </c>
      <c r="CB31" s="9">
        <f t="shared" si="18"/>
        <v>23.4</v>
      </c>
      <c r="CC31" s="13">
        <f t="shared" si="47"/>
        <v>972</v>
      </c>
      <c r="CD31">
        <f t="shared" si="48"/>
        <v>361</v>
      </c>
      <c r="CE31" s="13">
        <f t="shared" si="49"/>
        <v>972</v>
      </c>
      <c r="CF31" s="13"/>
      <c r="CV31" s="9">
        <f t="shared" si="55"/>
        <v>1.1376029860308781</v>
      </c>
      <c r="CW31" s="9">
        <f t="shared" si="50"/>
        <v>2558.4646351842985</v>
      </c>
      <c r="CX31" s="9"/>
      <c r="CY31" s="9">
        <f t="shared" si="51"/>
        <v>1.1376029860308781</v>
      </c>
      <c r="CZ31" s="9">
        <f t="shared" si="52"/>
        <v>2558.4646351842985</v>
      </c>
    </row>
    <row r="32" spans="1:104" x14ac:dyDescent="0.25">
      <c r="A32" s="8"/>
      <c r="B32" s="21" t="str">
        <f>'Eingabe Diagramme'!B25</f>
        <v xml:space="preserve">  959.0    480   23.2   23.0     99  18.85    132     10  299.9  355.3  303.3</v>
      </c>
      <c r="C32" s="19"/>
      <c r="D32" s="19"/>
      <c r="E32" s="19"/>
      <c r="F32" s="19"/>
      <c r="G32" s="19"/>
      <c r="H32" s="19"/>
      <c r="I32" s="20"/>
      <c r="J32" s="19"/>
      <c r="K32" s="19"/>
      <c r="L32" s="11" t="str">
        <f t="shared" si="53"/>
        <v xml:space="preserve">  959.0</v>
      </c>
      <c r="M32" s="11" t="str">
        <f t="shared" si="1"/>
        <v xml:space="preserve">  480</v>
      </c>
      <c r="N32" s="11" t="str">
        <f t="shared" si="2"/>
        <v xml:space="preserve"> 23.2</v>
      </c>
      <c r="O32" s="11" t="str">
        <f t="shared" si="3"/>
        <v xml:space="preserve"> 23.0</v>
      </c>
      <c r="P32" s="11" t="str">
        <f t="shared" si="4"/>
        <v xml:space="preserve"> 99</v>
      </c>
      <c r="Q32" s="11" t="str">
        <f t="shared" si="5"/>
        <v>18.85</v>
      </c>
      <c r="R32" s="11" t="str">
        <f t="shared" si="6"/>
        <v>132</v>
      </c>
      <c r="S32" s="11" t="str">
        <f t="shared" si="19"/>
        <v xml:space="preserve"> 10</v>
      </c>
      <c r="T32" s="11" t="str">
        <f t="shared" si="20"/>
        <v>299.9</v>
      </c>
      <c r="U32" s="11" t="str">
        <f t="shared" si="21"/>
        <v>355.3</v>
      </c>
      <c r="V32" s="11" t="str">
        <f t="shared" si="22"/>
        <v>303.3</v>
      </c>
      <c r="W32" s="11"/>
      <c r="Y32" s="13">
        <f t="shared" si="7"/>
        <v>959</v>
      </c>
      <c r="Z32" s="13">
        <f t="shared" si="8"/>
        <v>480</v>
      </c>
      <c r="AA32" s="10">
        <f t="shared" si="9"/>
        <v>23.2</v>
      </c>
      <c r="AB32" s="10">
        <f t="shared" si="10"/>
        <v>23</v>
      </c>
      <c r="AC32" s="13">
        <f t="shared" si="11"/>
        <v>99</v>
      </c>
      <c r="AD32" s="9">
        <f t="shared" si="12"/>
        <v>18.850000000000001</v>
      </c>
      <c r="AE32" s="13">
        <f t="shared" si="13"/>
        <v>132</v>
      </c>
      <c r="AF32" s="13">
        <f t="shared" si="14"/>
        <v>10</v>
      </c>
      <c r="AG32" s="27">
        <f t="shared" si="23"/>
        <v>18.52</v>
      </c>
      <c r="AH32" s="29">
        <f t="shared" si="24"/>
        <v>299.89999999999998</v>
      </c>
      <c r="AI32" s="29">
        <f t="shared" si="25"/>
        <v>355.3</v>
      </c>
      <c r="AJ32" s="29">
        <f t="shared" si="26"/>
        <v>303.3</v>
      </c>
      <c r="AK32" s="27">
        <f t="shared" si="27"/>
        <v>26.75</v>
      </c>
      <c r="AL32" s="27">
        <f t="shared" si="28"/>
        <v>82.150000000000034</v>
      </c>
      <c r="AM32" s="27">
        <f t="shared" si="29"/>
        <v>30.150000000000034</v>
      </c>
      <c r="AP32" s="10">
        <f t="shared" si="30"/>
        <v>23</v>
      </c>
      <c r="AQ32" s="13">
        <f t="shared" si="31"/>
        <v>480</v>
      </c>
      <c r="AR32" s="10">
        <f t="shared" si="32"/>
        <v>23.2</v>
      </c>
      <c r="AS32" s="13">
        <f t="shared" si="33"/>
        <v>480</v>
      </c>
      <c r="AV32" s="13">
        <f t="shared" si="34"/>
        <v>959</v>
      </c>
      <c r="AW32" s="13">
        <f t="shared" si="35"/>
        <v>480</v>
      </c>
      <c r="AY32" s="13">
        <f t="shared" si="36"/>
        <v>99</v>
      </c>
      <c r="AZ32" s="13">
        <f t="shared" si="37"/>
        <v>480</v>
      </c>
      <c r="BA32" s="13"/>
      <c r="BB32" s="13"/>
      <c r="BC32" s="10">
        <f t="shared" si="38"/>
        <v>0.19999999999999929</v>
      </c>
      <c r="BD32" s="10">
        <f t="shared" si="39"/>
        <v>0.19999999999999929</v>
      </c>
      <c r="BE32" s="13">
        <f t="shared" si="40"/>
        <v>480</v>
      </c>
      <c r="BG32" s="9">
        <f t="shared" si="41"/>
        <v>18.850000000000001</v>
      </c>
      <c r="BH32" s="13">
        <f t="shared" si="42"/>
        <v>480</v>
      </c>
      <c r="BJ32" s="13">
        <f t="shared" si="43"/>
        <v>132</v>
      </c>
      <c r="BK32" s="13">
        <f t="shared" si="44"/>
        <v>480</v>
      </c>
      <c r="BL32" s="13"/>
      <c r="BM32" s="13">
        <f t="shared" si="45"/>
        <v>18.52</v>
      </c>
      <c r="BN32" s="13">
        <f t="shared" si="46"/>
        <v>480</v>
      </c>
      <c r="BO32" s="13"/>
      <c r="BP32" s="13"/>
      <c r="BQ32" s="10"/>
      <c r="BR32" s="10">
        <f t="shared" si="54"/>
        <v>25.4</v>
      </c>
      <c r="BS32">
        <v>400</v>
      </c>
      <c r="BT32" s="13"/>
      <c r="BV32" s="25">
        <f t="shared" si="15"/>
        <v>966.11876645171969</v>
      </c>
      <c r="BW32">
        <v>400</v>
      </c>
      <c r="BX32" s="13"/>
      <c r="BZ32" s="10">
        <f t="shared" si="16"/>
        <v>23.2</v>
      </c>
      <c r="CA32" s="13">
        <f t="shared" si="17"/>
        <v>959</v>
      </c>
      <c r="CB32" s="9">
        <f t="shared" si="18"/>
        <v>23</v>
      </c>
      <c r="CC32" s="13">
        <f t="shared" si="47"/>
        <v>959</v>
      </c>
      <c r="CD32">
        <f t="shared" si="48"/>
        <v>480</v>
      </c>
      <c r="CE32" s="13">
        <f t="shared" si="49"/>
        <v>959</v>
      </c>
      <c r="CF32" s="13"/>
      <c r="CV32" s="9">
        <f t="shared" si="55"/>
        <v>1.1273117168055482</v>
      </c>
      <c r="CW32" s="9">
        <f t="shared" si="50"/>
        <v>4106.8870192191516</v>
      </c>
      <c r="CX32" s="9"/>
      <c r="CY32" s="9">
        <f t="shared" si="51"/>
        <v>1.1273117168055482</v>
      </c>
      <c r="CZ32" s="9">
        <f t="shared" si="52"/>
        <v>4106.8870192191516</v>
      </c>
    </row>
    <row r="33" spans="1:104" x14ac:dyDescent="0.25">
      <c r="A33" s="8"/>
      <c r="B33" s="21" t="str">
        <f>'Eingabe Diagramme'!B26</f>
        <v xml:space="preserve">  937.0    683   21.9   21.3     96  17.38    145     11  300.6  351.8  303.7</v>
      </c>
      <c r="C33" s="19"/>
      <c r="D33" s="19"/>
      <c r="E33" s="19"/>
      <c r="F33" s="19"/>
      <c r="G33" s="19"/>
      <c r="H33" s="19"/>
      <c r="I33" s="20"/>
      <c r="J33" s="19"/>
      <c r="K33" s="19"/>
      <c r="L33" s="11" t="str">
        <f t="shared" si="53"/>
        <v xml:space="preserve">  937.0</v>
      </c>
      <c r="M33" s="11" t="str">
        <f t="shared" si="1"/>
        <v xml:space="preserve">  683</v>
      </c>
      <c r="N33" s="11" t="str">
        <f t="shared" si="2"/>
        <v xml:space="preserve"> 21.9</v>
      </c>
      <c r="O33" s="11" t="str">
        <f t="shared" si="3"/>
        <v xml:space="preserve"> 21.3</v>
      </c>
      <c r="P33" s="11" t="str">
        <f t="shared" si="4"/>
        <v xml:space="preserve"> 96</v>
      </c>
      <c r="Q33" s="11" t="str">
        <f t="shared" si="5"/>
        <v>17.38</v>
      </c>
      <c r="R33" s="11" t="str">
        <f t="shared" si="6"/>
        <v>145</v>
      </c>
      <c r="S33" s="11" t="str">
        <f t="shared" si="19"/>
        <v xml:space="preserve"> 11</v>
      </c>
      <c r="T33" s="11" t="str">
        <f t="shared" si="20"/>
        <v>300.6</v>
      </c>
      <c r="U33" s="11" t="str">
        <f t="shared" si="21"/>
        <v>351.8</v>
      </c>
      <c r="V33" s="11" t="str">
        <f t="shared" si="22"/>
        <v>303.7</v>
      </c>
      <c r="W33" s="11"/>
      <c r="Y33" s="13">
        <f t="shared" si="7"/>
        <v>937</v>
      </c>
      <c r="Z33" s="13">
        <f t="shared" si="8"/>
        <v>683</v>
      </c>
      <c r="AA33" s="10">
        <f t="shared" si="9"/>
        <v>21.9</v>
      </c>
      <c r="AB33" s="10">
        <f t="shared" si="10"/>
        <v>21.3</v>
      </c>
      <c r="AC33" s="13">
        <f t="shared" si="11"/>
        <v>96</v>
      </c>
      <c r="AD33" s="9">
        <f t="shared" si="12"/>
        <v>17.38</v>
      </c>
      <c r="AE33" s="13">
        <f t="shared" si="13"/>
        <v>145</v>
      </c>
      <c r="AF33" s="13">
        <f t="shared" si="14"/>
        <v>11</v>
      </c>
      <c r="AG33" s="27">
        <f t="shared" si="23"/>
        <v>20.372</v>
      </c>
      <c r="AH33" s="29">
        <f t="shared" si="24"/>
        <v>300.60000000000002</v>
      </c>
      <c r="AI33" s="29">
        <f t="shared" si="25"/>
        <v>351.8</v>
      </c>
      <c r="AJ33" s="29">
        <f t="shared" si="26"/>
        <v>303.7</v>
      </c>
      <c r="AK33" s="27">
        <f t="shared" si="27"/>
        <v>27.450000000000045</v>
      </c>
      <c r="AL33" s="27">
        <f t="shared" si="28"/>
        <v>78.650000000000034</v>
      </c>
      <c r="AM33" s="27">
        <f t="shared" si="29"/>
        <v>30.550000000000011</v>
      </c>
      <c r="AP33" s="10">
        <f t="shared" si="30"/>
        <v>21.3</v>
      </c>
      <c r="AQ33" s="13">
        <f t="shared" si="31"/>
        <v>683</v>
      </c>
      <c r="AR33" s="10">
        <f t="shared" si="32"/>
        <v>21.9</v>
      </c>
      <c r="AS33" s="13">
        <f t="shared" si="33"/>
        <v>683</v>
      </c>
      <c r="AV33" s="13">
        <f t="shared" si="34"/>
        <v>937</v>
      </c>
      <c r="AW33" s="13">
        <f t="shared" si="35"/>
        <v>683</v>
      </c>
      <c r="AY33" s="13">
        <f t="shared" si="36"/>
        <v>96</v>
      </c>
      <c r="AZ33" s="13">
        <f t="shared" si="37"/>
        <v>683</v>
      </c>
      <c r="BA33" s="13"/>
      <c r="BB33" s="13"/>
      <c r="BC33" s="10">
        <f t="shared" si="38"/>
        <v>0.59999999999999787</v>
      </c>
      <c r="BD33" s="10">
        <f t="shared" si="39"/>
        <v>0.59999999999999787</v>
      </c>
      <c r="BE33" s="13">
        <f t="shared" si="40"/>
        <v>683</v>
      </c>
      <c r="BG33" s="9">
        <f t="shared" si="41"/>
        <v>17.38</v>
      </c>
      <c r="BH33" s="13">
        <f t="shared" si="42"/>
        <v>683</v>
      </c>
      <c r="BJ33" s="13">
        <f t="shared" si="43"/>
        <v>145</v>
      </c>
      <c r="BK33" s="13">
        <f t="shared" si="44"/>
        <v>683</v>
      </c>
      <c r="BL33" s="13"/>
      <c r="BM33" s="13">
        <f t="shared" si="45"/>
        <v>20.372</v>
      </c>
      <c r="BN33" s="13">
        <f t="shared" si="46"/>
        <v>683</v>
      </c>
      <c r="BO33" s="13"/>
      <c r="BP33" s="13"/>
      <c r="BQ33" s="10"/>
      <c r="BR33" s="10">
        <f t="shared" si="54"/>
        <v>24.75</v>
      </c>
      <c r="BS33">
        <v>500</v>
      </c>
      <c r="BT33" s="13"/>
      <c r="BV33" s="25">
        <f t="shared" si="15"/>
        <v>954.61788007933478</v>
      </c>
      <c r="BW33">
        <v>500</v>
      </c>
      <c r="BX33" s="13"/>
      <c r="BZ33" s="10">
        <f t="shared" si="16"/>
        <v>21.9</v>
      </c>
      <c r="CA33" s="13">
        <f t="shared" si="17"/>
        <v>937</v>
      </c>
      <c r="CB33" s="9">
        <f t="shared" si="18"/>
        <v>21.3</v>
      </c>
      <c r="CC33" s="13">
        <f t="shared" si="47"/>
        <v>937</v>
      </c>
      <c r="CD33">
        <f t="shared" si="48"/>
        <v>683</v>
      </c>
      <c r="CE33" s="13">
        <f t="shared" si="49"/>
        <v>937</v>
      </c>
      <c r="CF33" s="13"/>
      <c r="CV33" s="9">
        <f t="shared" si="55"/>
        <v>1.1063035785878139</v>
      </c>
      <c r="CW33" s="9">
        <f t="shared" si="50"/>
        <v>2113.4734248136265</v>
      </c>
      <c r="CX33" s="9"/>
      <c r="CY33" s="9">
        <f t="shared" si="51"/>
        <v>1.1063035785878139</v>
      </c>
      <c r="CZ33" s="9">
        <f t="shared" si="52"/>
        <v>2113.4734248136265</v>
      </c>
    </row>
    <row r="34" spans="1:104" x14ac:dyDescent="0.25">
      <c r="A34" s="8"/>
      <c r="B34" s="21" t="str">
        <f>'Eingabe Diagramme'!B27</f>
        <v xml:space="preserve">  925.0    796   21.2   20.4     95  16.61    170      8  301.0  350.0  304.0</v>
      </c>
      <c r="C34" s="19"/>
      <c r="D34" s="19"/>
      <c r="E34" s="19"/>
      <c r="F34" s="19"/>
      <c r="G34" s="19"/>
      <c r="H34" s="19"/>
      <c r="I34" s="20"/>
      <c r="J34" s="19"/>
      <c r="K34" s="19"/>
      <c r="L34" s="11" t="str">
        <f t="shared" si="53"/>
        <v xml:space="preserve">  925.0</v>
      </c>
      <c r="M34" s="11" t="str">
        <f t="shared" si="1"/>
        <v xml:space="preserve">  796</v>
      </c>
      <c r="N34" s="11" t="str">
        <f t="shared" si="2"/>
        <v xml:space="preserve"> 21.2</v>
      </c>
      <c r="O34" s="11" t="str">
        <f t="shared" si="3"/>
        <v xml:space="preserve"> 20.4</v>
      </c>
      <c r="P34" s="11" t="str">
        <f t="shared" si="4"/>
        <v xml:space="preserve"> 95</v>
      </c>
      <c r="Q34" s="11" t="str">
        <f t="shared" si="5"/>
        <v>16.61</v>
      </c>
      <c r="R34" s="11" t="str">
        <f t="shared" si="6"/>
        <v>170</v>
      </c>
      <c r="S34" s="11" t="str">
        <f t="shared" si="19"/>
        <v xml:space="preserve">  8</v>
      </c>
      <c r="T34" s="11" t="str">
        <f t="shared" si="20"/>
        <v>301.0</v>
      </c>
      <c r="U34" s="11" t="str">
        <f t="shared" si="21"/>
        <v>350.0</v>
      </c>
      <c r="V34" s="11" t="str">
        <f t="shared" si="22"/>
        <v>304.0</v>
      </c>
      <c r="W34" s="11"/>
      <c r="Y34" s="13">
        <f t="shared" si="7"/>
        <v>925</v>
      </c>
      <c r="Z34" s="13">
        <f t="shared" si="8"/>
        <v>796</v>
      </c>
      <c r="AA34" s="10">
        <f t="shared" si="9"/>
        <v>21.2</v>
      </c>
      <c r="AB34" s="10">
        <f t="shared" si="10"/>
        <v>20.399999999999999</v>
      </c>
      <c r="AC34" s="13">
        <f t="shared" si="11"/>
        <v>95</v>
      </c>
      <c r="AD34" s="9">
        <f t="shared" si="12"/>
        <v>16.61</v>
      </c>
      <c r="AE34" s="13">
        <f t="shared" si="13"/>
        <v>170</v>
      </c>
      <c r="AF34" s="13">
        <f t="shared" si="14"/>
        <v>8</v>
      </c>
      <c r="AG34" s="27">
        <f t="shared" si="23"/>
        <v>14.816000000000001</v>
      </c>
      <c r="AH34" s="29">
        <f t="shared" si="24"/>
        <v>301</v>
      </c>
      <c r="AI34" s="29">
        <f t="shared" si="25"/>
        <v>350</v>
      </c>
      <c r="AJ34" s="29">
        <f t="shared" si="26"/>
        <v>304</v>
      </c>
      <c r="AK34" s="27">
        <f t="shared" si="27"/>
        <v>27.850000000000023</v>
      </c>
      <c r="AL34" s="27">
        <f t="shared" si="28"/>
        <v>76.850000000000023</v>
      </c>
      <c r="AM34" s="27">
        <f t="shared" si="29"/>
        <v>30.850000000000023</v>
      </c>
      <c r="AP34" s="10">
        <f t="shared" si="30"/>
        <v>20.399999999999999</v>
      </c>
      <c r="AQ34" s="13">
        <f t="shared" si="31"/>
        <v>796</v>
      </c>
      <c r="AR34" s="10">
        <f t="shared" si="32"/>
        <v>21.2</v>
      </c>
      <c r="AS34" s="13">
        <f t="shared" si="33"/>
        <v>796</v>
      </c>
      <c r="AV34" s="13">
        <f t="shared" si="34"/>
        <v>925</v>
      </c>
      <c r="AW34" s="13">
        <f t="shared" si="35"/>
        <v>796</v>
      </c>
      <c r="AY34" s="13">
        <f t="shared" si="36"/>
        <v>95</v>
      </c>
      <c r="AZ34" s="13">
        <f t="shared" si="37"/>
        <v>796</v>
      </c>
      <c r="BA34" s="13"/>
      <c r="BB34" s="13"/>
      <c r="BC34" s="10">
        <f t="shared" si="38"/>
        <v>0.80000000000000071</v>
      </c>
      <c r="BD34" s="10">
        <f t="shared" si="39"/>
        <v>0.80000000000000071</v>
      </c>
      <c r="BE34" s="13">
        <f t="shared" si="40"/>
        <v>796</v>
      </c>
      <c r="BG34" s="9">
        <f t="shared" si="41"/>
        <v>16.61</v>
      </c>
      <c r="BH34" s="13">
        <f t="shared" si="42"/>
        <v>796</v>
      </c>
      <c r="BJ34" s="13">
        <f t="shared" si="43"/>
        <v>170</v>
      </c>
      <c r="BK34" s="13">
        <f t="shared" si="44"/>
        <v>796</v>
      </c>
      <c r="BL34" s="13"/>
      <c r="BM34" s="13">
        <f t="shared" si="45"/>
        <v>14.816000000000001</v>
      </c>
      <c r="BN34" s="13">
        <f t="shared" si="46"/>
        <v>796</v>
      </c>
      <c r="BO34" s="13"/>
      <c r="BP34" s="13"/>
      <c r="BQ34" s="10"/>
      <c r="BR34" s="10">
        <f t="shared" si="54"/>
        <v>24.1</v>
      </c>
      <c r="BS34">
        <v>600</v>
      </c>
      <c r="BT34" s="13"/>
      <c r="BV34" s="25">
        <f t="shared" si="15"/>
        <v>943.22810163446445</v>
      </c>
      <c r="BW34">
        <v>600</v>
      </c>
      <c r="BX34" s="13"/>
      <c r="BZ34" s="10">
        <f t="shared" si="16"/>
        <v>21.2</v>
      </c>
      <c r="CA34" s="13">
        <f t="shared" si="17"/>
        <v>925</v>
      </c>
      <c r="CB34" s="9">
        <f t="shared" si="18"/>
        <v>20.399999999999999</v>
      </c>
      <c r="CC34" s="13">
        <f t="shared" si="47"/>
        <v>925</v>
      </c>
      <c r="CD34">
        <f t="shared" si="48"/>
        <v>796</v>
      </c>
      <c r="CE34" s="13">
        <f t="shared" si="49"/>
        <v>925</v>
      </c>
      <c r="CF34" s="13"/>
      <c r="CV34" s="9">
        <f t="shared" si="55"/>
        <v>1.0947325666747199</v>
      </c>
      <c r="CW34" s="9">
        <f t="shared" si="50"/>
        <v>2020.7888373206276</v>
      </c>
      <c r="CX34" s="9"/>
      <c r="CY34" s="9">
        <f t="shared" si="51"/>
        <v>1.0947325666747199</v>
      </c>
      <c r="CZ34" s="9">
        <f t="shared" si="52"/>
        <v>2020.7888373206276</v>
      </c>
    </row>
    <row r="35" spans="1:104" x14ac:dyDescent="0.25">
      <c r="A35" s="8"/>
      <c r="B35" s="21" t="str">
        <f>'Eingabe Diagramme'!B28</f>
        <v xml:space="preserve">  913.0    909   20.4   19.8     96  16.23    180     10  301.3  349.3  304.2</v>
      </c>
      <c r="C35" s="19"/>
      <c r="D35" s="19"/>
      <c r="E35" s="19"/>
      <c r="F35" s="19"/>
      <c r="G35" s="19"/>
      <c r="H35" s="19"/>
      <c r="I35" s="20"/>
      <c r="J35" s="19"/>
      <c r="K35" s="19"/>
      <c r="L35" s="11" t="str">
        <f t="shared" si="53"/>
        <v xml:space="preserve">  913.0</v>
      </c>
      <c r="M35" s="11" t="str">
        <f t="shared" si="1"/>
        <v xml:space="preserve">  909</v>
      </c>
      <c r="N35" s="11" t="str">
        <f t="shared" si="2"/>
        <v xml:space="preserve"> 20.4</v>
      </c>
      <c r="O35" s="11" t="str">
        <f t="shared" si="3"/>
        <v xml:space="preserve"> 19.8</v>
      </c>
      <c r="P35" s="11" t="str">
        <f t="shared" si="4"/>
        <v xml:space="preserve"> 96</v>
      </c>
      <c r="Q35" s="11" t="str">
        <f t="shared" si="5"/>
        <v>16.23</v>
      </c>
      <c r="R35" s="11" t="str">
        <f t="shared" si="6"/>
        <v>180</v>
      </c>
      <c r="S35" s="11" t="str">
        <f t="shared" si="19"/>
        <v xml:space="preserve"> 10</v>
      </c>
      <c r="T35" s="11" t="str">
        <f t="shared" si="20"/>
        <v>301.3</v>
      </c>
      <c r="U35" s="11" t="str">
        <f t="shared" si="21"/>
        <v>349.3</v>
      </c>
      <c r="V35" s="11" t="str">
        <f t="shared" si="22"/>
        <v>304.2</v>
      </c>
      <c r="W35" s="11"/>
      <c r="Y35" s="13">
        <f t="shared" si="7"/>
        <v>913</v>
      </c>
      <c r="Z35" s="13">
        <f t="shared" si="8"/>
        <v>909</v>
      </c>
      <c r="AA35" s="10">
        <f t="shared" si="9"/>
        <v>20.399999999999999</v>
      </c>
      <c r="AB35" s="10">
        <f t="shared" si="10"/>
        <v>19.8</v>
      </c>
      <c r="AC35" s="13">
        <f t="shared" si="11"/>
        <v>96</v>
      </c>
      <c r="AD35" s="9">
        <f t="shared" si="12"/>
        <v>16.23</v>
      </c>
      <c r="AE35" s="13">
        <f t="shared" si="13"/>
        <v>180</v>
      </c>
      <c r="AF35" s="13">
        <f t="shared" si="14"/>
        <v>10</v>
      </c>
      <c r="AG35" s="27">
        <f t="shared" si="23"/>
        <v>18.52</v>
      </c>
      <c r="AH35" s="29">
        <f t="shared" si="24"/>
        <v>301.3</v>
      </c>
      <c r="AI35" s="29">
        <f t="shared" si="25"/>
        <v>349.3</v>
      </c>
      <c r="AJ35" s="29">
        <f t="shared" si="26"/>
        <v>304.2</v>
      </c>
      <c r="AK35" s="27">
        <f t="shared" si="27"/>
        <v>28.150000000000034</v>
      </c>
      <c r="AL35" s="27">
        <f t="shared" si="28"/>
        <v>76.150000000000034</v>
      </c>
      <c r="AM35" s="27">
        <f t="shared" si="29"/>
        <v>31.050000000000011</v>
      </c>
      <c r="AP35" s="10">
        <f t="shared" si="30"/>
        <v>19.8</v>
      </c>
      <c r="AQ35" s="13">
        <f t="shared" si="31"/>
        <v>909</v>
      </c>
      <c r="AR35" s="10">
        <f t="shared" si="32"/>
        <v>20.399999999999999</v>
      </c>
      <c r="AS35" s="13">
        <f t="shared" si="33"/>
        <v>909</v>
      </c>
      <c r="AV35" s="13">
        <f t="shared" si="34"/>
        <v>913</v>
      </c>
      <c r="AW35" s="13">
        <f t="shared" si="35"/>
        <v>909</v>
      </c>
      <c r="AY35" s="13">
        <f t="shared" si="36"/>
        <v>96</v>
      </c>
      <c r="AZ35" s="13">
        <f t="shared" si="37"/>
        <v>909</v>
      </c>
      <c r="BA35" s="13"/>
      <c r="BB35" s="13"/>
      <c r="BC35" s="10">
        <f t="shared" si="38"/>
        <v>0.59999999999999787</v>
      </c>
      <c r="BD35" s="10">
        <f t="shared" si="39"/>
        <v>0.59999999999999787</v>
      </c>
      <c r="BE35" s="13">
        <f t="shared" si="40"/>
        <v>909</v>
      </c>
      <c r="BG35" s="9">
        <f t="shared" si="41"/>
        <v>16.23</v>
      </c>
      <c r="BH35" s="13">
        <f t="shared" si="42"/>
        <v>909</v>
      </c>
      <c r="BJ35" s="13">
        <f t="shared" si="43"/>
        <v>180</v>
      </c>
      <c r="BK35" s="13">
        <f t="shared" si="44"/>
        <v>909</v>
      </c>
      <c r="BL35" s="13"/>
      <c r="BM35" s="13">
        <f t="shared" si="45"/>
        <v>18.52</v>
      </c>
      <c r="BN35" s="13">
        <f t="shared" si="46"/>
        <v>909</v>
      </c>
      <c r="BO35" s="13"/>
      <c r="BP35" s="13"/>
      <c r="BQ35" s="10"/>
      <c r="BR35" s="10">
        <f t="shared" si="54"/>
        <v>23.45</v>
      </c>
      <c r="BS35">
        <v>700</v>
      </c>
      <c r="BT35" s="13"/>
      <c r="BV35" s="25">
        <f t="shared" si="15"/>
        <v>931.94860811954084</v>
      </c>
      <c r="BW35">
        <v>700</v>
      </c>
      <c r="BX35" s="13"/>
      <c r="BZ35" s="10">
        <f t="shared" si="16"/>
        <v>20.399999999999999</v>
      </c>
      <c r="CA35" s="13">
        <f t="shared" si="17"/>
        <v>913</v>
      </c>
      <c r="CB35" s="9">
        <f t="shared" si="18"/>
        <v>19.8</v>
      </c>
      <c r="CC35" s="13">
        <f t="shared" si="47"/>
        <v>913</v>
      </c>
      <c r="CD35">
        <f t="shared" si="48"/>
        <v>909</v>
      </c>
      <c r="CE35" s="13">
        <f t="shared" si="49"/>
        <v>913</v>
      </c>
      <c r="CF35" s="13"/>
      <c r="CV35" s="9">
        <f t="shared" si="55"/>
        <v>1.0834753573124611</v>
      </c>
      <c r="CW35" s="9">
        <f t="shared" si="50"/>
        <v>2157.8083326473857</v>
      </c>
      <c r="CX35" s="9"/>
      <c r="CY35" s="9">
        <f t="shared" si="51"/>
        <v>1.0834753573124611</v>
      </c>
      <c r="CZ35" s="9">
        <f t="shared" si="52"/>
        <v>2157.8083326473857</v>
      </c>
    </row>
    <row r="36" spans="1:104" x14ac:dyDescent="0.25">
      <c r="A36" s="8"/>
      <c r="B36" s="21" t="str">
        <f>'Eingabe Diagramme'!B29</f>
        <v xml:space="preserve">  900.0   1034   19.6   19.2     98  15.82    184     10  301.7  348.5  304.6</v>
      </c>
      <c r="C36" s="19"/>
      <c r="D36" s="19"/>
      <c r="E36" s="19"/>
      <c r="F36" s="19"/>
      <c r="G36" s="19"/>
      <c r="H36" s="19"/>
      <c r="I36" s="20"/>
      <c r="J36" s="19"/>
      <c r="K36" s="19"/>
      <c r="L36" s="11" t="str">
        <f t="shared" si="53"/>
        <v xml:space="preserve">  900.0</v>
      </c>
      <c r="M36" s="11" t="str">
        <f t="shared" si="1"/>
        <v xml:space="preserve"> 1034</v>
      </c>
      <c r="N36" s="11" t="str">
        <f t="shared" si="2"/>
        <v xml:space="preserve"> 19.6</v>
      </c>
      <c r="O36" s="11" t="str">
        <f t="shared" si="3"/>
        <v xml:space="preserve"> 19.2</v>
      </c>
      <c r="P36" s="11" t="str">
        <f t="shared" si="4"/>
        <v xml:space="preserve"> 98</v>
      </c>
      <c r="Q36" s="11" t="str">
        <f t="shared" si="5"/>
        <v>15.82</v>
      </c>
      <c r="R36" s="11" t="str">
        <f t="shared" si="6"/>
        <v>184</v>
      </c>
      <c r="S36" s="11" t="str">
        <f t="shared" si="19"/>
        <v xml:space="preserve"> 10</v>
      </c>
      <c r="T36" s="11" t="str">
        <f t="shared" si="20"/>
        <v>301.7</v>
      </c>
      <c r="U36" s="11" t="str">
        <f t="shared" si="21"/>
        <v>348.5</v>
      </c>
      <c r="V36" s="11" t="str">
        <f t="shared" si="22"/>
        <v>304.6</v>
      </c>
      <c r="W36" s="11"/>
      <c r="Y36" s="13">
        <f t="shared" si="7"/>
        <v>900</v>
      </c>
      <c r="Z36" s="13">
        <f t="shared" si="8"/>
        <v>1034</v>
      </c>
      <c r="AA36" s="10">
        <f t="shared" si="9"/>
        <v>19.600000000000001</v>
      </c>
      <c r="AB36" s="10">
        <f t="shared" si="10"/>
        <v>19.2</v>
      </c>
      <c r="AC36" s="13">
        <f t="shared" si="11"/>
        <v>98</v>
      </c>
      <c r="AD36" s="9">
        <f t="shared" si="12"/>
        <v>15.82</v>
      </c>
      <c r="AE36" s="13">
        <f t="shared" si="13"/>
        <v>184</v>
      </c>
      <c r="AF36" s="13">
        <f t="shared" si="14"/>
        <v>10</v>
      </c>
      <c r="AG36" s="27">
        <f t="shared" si="23"/>
        <v>18.52</v>
      </c>
      <c r="AH36" s="29">
        <f t="shared" si="24"/>
        <v>301.7</v>
      </c>
      <c r="AI36" s="29">
        <f t="shared" si="25"/>
        <v>348.5</v>
      </c>
      <c r="AJ36" s="29">
        <f t="shared" si="26"/>
        <v>304.60000000000002</v>
      </c>
      <c r="AK36" s="27">
        <f t="shared" si="27"/>
        <v>28.550000000000011</v>
      </c>
      <c r="AL36" s="27">
        <f t="shared" si="28"/>
        <v>75.350000000000023</v>
      </c>
      <c r="AM36" s="27">
        <f t="shared" si="29"/>
        <v>31.450000000000045</v>
      </c>
      <c r="AP36" s="10">
        <f t="shared" si="30"/>
        <v>19.2</v>
      </c>
      <c r="AQ36" s="13">
        <f t="shared" si="31"/>
        <v>1034</v>
      </c>
      <c r="AR36" s="10">
        <f t="shared" si="32"/>
        <v>19.600000000000001</v>
      </c>
      <c r="AS36" s="13">
        <f t="shared" si="33"/>
        <v>1034</v>
      </c>
      <c r="AV36" s="13">
        <f t="shared" si="34"/>
        <v>900</v>
      </c>
      <c r="AW36" s="13">
        <f t="shared" si="35"/>
        <v>1034</v>
      </c>
      <c r="AY36" s="13">
        <f t="shared" si="36"/>
        <v>98</v>
      </c>
      <c r="AZ36" s="13">
        <f t="shared" si="37"/>
        <v>1034</v>
      </c>
      <c r="BA36" s="13"/>
      <c r="BB36" s="13"/>
      <c r="BC36" s="10">
        <f t="shared" si="38"/>
        <v>0.40000000000000213</v>
      </c>
      <c r="BD36" s="10">
        <f t="shared" si="39"/>
        <v>0.40000000000000213</v>
      </c>
      <c r="BE36" s="13">
        <f t="shared" si="40"/>
        <v>1034</v>
      </c>
      <c r="BG36" s="9">
        <f t="shared" si="41"/>
        <v>15.82</v>
      </c>
      <c r="BH36" s="13">
        <f t="shared" si="42"/>
        <v>1034</v>
      </c>
      <c r="BJ36" s="13">
        <f t="shared" si="43"/>
        <v>184</v>
      </c>
      <c r="BK36" s="13">
        <f t="shared" si="44"/>
        <v>1034</v>
      </c>
      <c r="BL36" s="13"/>
      <c r="BM36" s="13">
        <f t="shared" si="45"/>
        <v>18.52</v>
      </c>
      <c r="BN36" s="13">
        <f t="shared" si="46"/>
        <v>1034</v>
      </c>
      <c r="BO36" s="13"/>
      <c r="BP36" s="13"/>
      <c r="BQ36" s="10"/>
      <c r="BR36" s="10">
        <f t="shared" si="54"/>
        <v>22.8</v>
      </c>
      <c r="BS36">
        <v>800</v>
      </c>
      <c r="BT36" s="13"/>
      <c r="BV36" s="25">
        <f t="shared" si="15"/>
        <v>920.77858076989821</v>
      </c>
      <c r="BW36">
        <v>800</v>
      </c>
      <c r="BX36" s="13"/>
      <c r="BZ36" s="10">
        <f t="shared" si="16"/>
        <v>19.600000000000001</v>
      </c>
      <c r="CA36" s="13">
        <f t="shared" si="17"/>
        <v>900</v>
      </c>
      <c r="CB36" s="9">
        <f t="shared" si="18"/>
        <v>19.2</v>
      </c>
      <c r="CC36" s="13">
        <f t="shared" si="47"/>
        <v>900</v>
      </c>
      <c r="CD36">
        <f t="shared" si="48"/>
        <v>1034</v>
      </c>
      <c r="CE36" s="13">
        <f t="shared" si="49"/>
        <v>900</v>
      </c>
      <c r="CF36" s="13"/>
      <c r="CV36" s="9">
        <f t="shared" si="55"/>
        <v>1.0709666596833691</v>
      </c>
      <c r="CW36" s="9">
        <f t="shared" si="50"/>
        <v>2665.0494338892468</v>
      </c>
      <c r="CX36" s="9"/>
      <c r="CY36" s="9">
        <f t="shared" si="51"/>
        <v>1.0709666596833691</v>
      </c>
      <c r="CZ36" s="9">
        <f t="shared" si="52"/>
        <v>2665.0494338892468</v>
      </c>
    </row>
    <row r="37" spans="1:104" x14ac:dyDescent="0.25">
      <c r="A37" s="8"/>
      <c r="B37" s="21" t="str">
        <f>'Eingabe Diagramme'!B30</f>
        <v xml:space="preserve">  883.0   1198   18.9   17.8     94  14.78    190     11  302.6  346.5  305.3</v>
      </c>
      <c r="C37" s="19"/>
      <c r="D37" s="19"/>
      <c r="E37" s="19"/>
      <c r="F37" s="19"/>
      <c r="G37" s="19"/>
      <c r="H37" s="19"/>
      <c r="I37" s="20"/>
      <c r="J37" s="19"/>
      <c r="K37" s="19"/>
      <c r="L37" s="11" t="str">
        <f t="shared" si="53"/>
        <v xml:space="preserve">  883.0</v>
      </c>
      <c r="M37" s="11" t="str">
        <f t="shared" si="1"/>
        <v xml:space="preserve"> 1198</v>
      </c>
      <c r="N37" s="11" t="str">
        <f t="shared" si="2"/>
        <v xml:space="preserve"> 18.9</v>
      </c>
      <c r="O37" s="11" t="str">
        <f t="shared" si="3"/>
        <v xml:space="preserve"> 17.8</v>
      </c>
      <c r="P37" s="11" t="str">
        <f t="shared" si="4"/>
        <v xml:space="preserve"> 94</v>
      </c>
      <c r="Q37" s="11" t="str">
        <f t="shared" si="5"/>
        <v>14.78</v>
      </c>
      <c r="R37" s="11" t="str">
        <f t="shared" si="6"/>
        <v>190</v>
      </c>
      <c r="S37" s="11" t="str">
        <f t="shared" si="19"/>
        <v xml:space="preserve"> 11</v>
      </c>
      <c r="T37" s="11" t="str">
        <f t="shared" si="20"/>
        <v>302.6</v>
      </c>
      <c r="U37" s="11" t="str">
        <f t="shared" si="21"/>
        <v>346.5</v>
      </c>
      <c r="V37" s="11" t="str">
        <f t="shared" si="22"/>
        <v>305.3</v>
      </c>
      <c r="W37" s="11"/>
      <c r="Y37" s="13">
        <f t="shared" si="7"/>
        <v>883</v>
      </c>
      <c r="Z37" s="13">
        <f t="shared" si="8"/>
        <v>1198</v>
      </c>
      <c r="AA37" s="10">
        <f t="shared" si="9"/>
        <v>18.899999999999999</v>
      </c>
      <c r="AB37" s="10">
        <f t="shared" si="10"/>
        <v>17.8</v>
      </c>
      <c r="AC37" s="13">
        <f t="shared" si="11"/>
        <v>94</v>
      </c>
      <c r="AD37" s="9">
        <f t="shared" si="12"/>
        <v>14.78</v>
      </c>
      <c r="AE37" s="13">
        <f t="shared" si="13"/>
        <v>190</v>
      </c>
      <c r="AF37" s="13">
        <f t="shared" si="14"/>
        <v>11</v>
      </c>
      <c r="AG37" s="27">
        <f t="shared" si="23"/>
        <v>20.372</v>
      </c>
      <c r="AH37" s="29">
        <f t="shared" si="24"/>
        <v>302.60000000000002</v>
      </c>
      <c r="AI37" s="29">
        <f t="shared" si="25"/>
        <v>346.5</v>
      </c>
      <c r="AJ37" s="29">
        <f t="shared" si="26"/>
        <v>305.3</v>
      </c>
      <c r="AK37" s="27">
        <f t="shared" si="27"/>
        <v>29.450000000000045</v>
      </c>
      <c r="AL37" s="27">
        <f t="shared" si="28"/>
        <v>73.350000000000023</v>
      </c>
      <c r="AM37" s="27">
        <f t="shared" si="29"/>
        <v>32.150000000000034</v>
      </c>
      <c r="AP37" s="10">
        <f t="shared" si="30"/>
        <v>17.8</v>
      </c>
      <c r="AQ37" s="13">
        <f t="shared" si="31"/>
        <v>1198</v>
      </c>
      <c r="AR37" s="10">
        <f t="shared" si="32"/>
        <v>18.899999999999999</v>
      </c>
      <c r="AS37" s="13">
        <f t="shared" si="33"/>
        <v>1198</v>
      </c>
      <c r="AV37" s="13">
        <f t="shared" si="34"/>
        <v>883</v>
      </c>
      <c r="AW37" s="13">
        <f t="shared" si="35"/>
        <v>1198</v>
      </c>
      <c r="AY37" s="13">
        <f t="shared" si="36"/>
        <v>94</v>
      </c>
      <c r="AZ37" s="13">
        <f t="shared" si="37"/>
        <v>1198</v>
      </c>
      <c r="BA37" s="13"/>
      <c r="BB37" s="13"/>
      <c r="BC37" s="10">
        <f t="shared" si="38"/>
        <v>1.0999999999999979</v>
      </c>
      <c r="BD37" s="10">
        <f t="shared" si="39"/>
        <v>1.0999999999999979</v>
      </c>
      <c r="BE37" s="13">
        <f t="shared" si="40"/>
        <v>1198</v>
      </c>
      <c r="BG37" s="9">
        <f t="shared" si="41"/>
        <v>14.78</v>
      </c>
      <c r="BH37" s="13">
        <f t="shared" si="42"/>
        <v>1198</v>
      </c>
      <c r="BJ37" s="13">
        <f t="shared" si="43"/>
        <v>190</v>
      </c>
      <c r="BK37" s="13">
        <f t="shared" si="44"/>
        <v>1198</v>
      </c>
      <c r="BL37" s="13"/>
      <c r="BM37" s="13">
        <f t="shared" si="45"/>
        <v>20.372</v>
      </c>
      <c r="BN37" s="13">
        <f t="shared" si="46"/>
        <v>1198</v>
      </c>
      <c r="BO37" s="13"/>
      <c r="BP37" s="13"/>
      <c r="BQ37" s="10"/>
      <c r="BR37" s="10">
        <f t="shared" si="54"/>
        <v>22.15</v>
      </c>
      <c r="BS37">
        <v>900</v>
      </c>
      <c r="BT37" s="13"/>
      <c r="BV37" s="25">
        <f t="shared" si="15"/>
        <v>909.71720504162829</v>
      </c>
      <c r="BW37">
        <v>900</v>
      </c>
      <c r="BX37" s="13"/>
      <c r="BZ37" s="10">
        <f t="shared" si="16"/>
        <v>18.899999999999999</v>
      </c>
      <c r="CA37" s="13">
        <f t="shared" si="17"/>
        <v>883</v>
      </c>
      <c r="CB37" s="9">
        <f t="shared" si="18"/>
        <v>17.8</v>
      </c>
      <c r="CC37" s="13">
        <f t="shared" si="47"/>
        <v>883</v>
      </c>
      <c r="CD37">
        <f t="shared" si="48"/>
        <v>1198</v>
      </c>
      <c r="CE37" s="13">
        <f t="shared" si="49"/>
        <v>883</v>
      </c>
      <c r="CF37" s="13"/>
      <c r="CV37" s="9">
        <f t="shared" si="55"/>
        <v>1.0532557489642052</v>
      </c>
      <c r="CW37" s="9">
        <f t="shared" si="50"/>
        <v>4697.0144976306665</v>
      </c>
      <c r="CX37" s="9"/>
      <c r="CY37" s="9">
        <f t="shared" si="51"/>
        <v>1.0532557489642052</v>
      </c>
      <c r="CZ37" s="9">
        <f t="shared" si="52"/>
        <v>4697.0144976306665</v>
      </c>
    </row>
    <row r="38" spans="1:104" x14ac:dyDescent="0.25">
      <c r="A38" s="8"/>
      <c r="B38" s="21" t="str">
        <f>'Eingabe Diagramme'!B31</f>
        <v xml:space="preserve">  850.0   1526   17.4   15.1     86  12.86    155     12  304.4  342.9  306.7</v>
      </c>
      <c r="C38" s="19"/>
      <c r="D38" s="19"/>
      <c r="E38" s="19"/>
      <c r="F38" s="19"/>
      <c r="G38" s="19"/>
      <c r="H38" s="19"/>
      <c r="I38" s="20"/>
      <c r="J38" s="19"/>
      <c r="K38" s="19"/>
      <c r="L38" s="11" t="str">
        <f t="shared" si="53"/>
        <v xml:space="preserve">  850.0</v>
      </c>
      <c r="M38" s="11" t="str">
        <f t="shared" si="1"/>
        <v xml:space="preserve"> 1526</v>
      </c>
      <c r="N38" s="11" t="str">
        <f t="shared" si="2"/>
        <v xml:space="preserve"> 17.4</v>
      </c>
      <c r="O38" s="11" t="str">
        <f t="shared" si="3"/>
        <v xml:space="preserve"> 15.1</v>
      </c>
      <c r="P38" s="11" t="str">
        <f t="shared" si="4"/>
        <v xml:space="preserve"> 86</v>
      </c>
      <c r="Q38" s="11" t="str">
        <f t="shared" si="5"/>
        <v>12.86</v>
      </c>
      <c r="R38" s="11" t="str">
        <f t="shared" si="6"/>
        <v>155</v>
      </c>
      <c r="S38" s="11" t="str">
        <f t="shared" si="19"/>
        <v xml:space="preserve"> 12</v>
      </c>
      <c r="T38" s="11" t="str">
        <f t="shared" si="20"/>
        <v>304.4</v>
      </c>
      <c r="U38" s="11" t="str">
        <f t="shared" si="21"/>
        <v>342.9</v>
      </c>
      <c r="V38" s="11" t="str">
        <f t="shared" si="22"/>
        <v>306.7</v>
      </c>
      <c r="W38" s="11"/>
      <c r="Y38" s="13">
        <f t="shared" si="7"/>
        <v>850</v>
      </c>
      <c r="Z38" s="13">
        <f t="shared" si="8"/>
        <v>1526</v>
      </c>
      <c r="AA38" s="10">
        <f t="shared" si="9"/>
        <v>17.399999999999999</v>
      </c>
      <c r="AB38" s="10">
        <f t="shared" si="10"/>
        <v>15.1</v>
      </c>
      <c r="AC38" s="13">
        <f t="shared" si="11"/>
        <v>86</v>
      </c>
      <c r="AD38" s="9">
        <f t="shared" si="12"/>
        <v>12.86</v>
      </c>
      <c r="AE38" s="13">
        <f t="shared" si="13"/>
        <v>155</v>
      </c>
      <c r="AF38" s="13">
        <f t="shared" si="14"/>
        <v>12</v>
      </c>
      <c r="AG38" s="27">
        <f t="shared" si="23"/>
        <v>22.224</v>
      </c>
      <c r="AH38" s="29">
        <f t="shared" si="24"/>
        <v>304.39999999999998</v>
      </c>
      <c r="AI38" s="29">
        <f t="shared" si="25"/>
        <v>342.9</v>
      </c>
      <c r="AJ38" s="29">
        <f t="shared" si="26"/>
        <v>306.7</v>
      </c>
      <c r="AK38" s="27">
        <f t="shared" si="27"/>
        <v>31.25</v>
      </c>
      <c r="AL38" s="27">
        <f t="shared" si="28"/>
        <v>69.75</v>
      </c>
      <c r="AM38" s="27">
        <f t="shared" si="29"/>
        <v>33.550000000000011</v>
      </c>
      <c r="AP38" s="10">
        <f t="shared" si="30"/>
        <v>15.1</v>
      </c>
      <c r="AQ38" s="13">
        <f t="shared" si="31"/>
        <v>1526</v>
      </c>
      <c r="AR38" s="10">
        <f t="shared" si="32"/>
        <v>17.399999999999999</v>
      </c>
      <c r="AS38" s="13">
        <f t="shared" si="33"/>
        <v>1526</v>
      </c>
      <c r="AV38" s="13">
        <f t="shared" si="34"/>
        <v>850</v>
      </c>
      <c r="AW38" s="13">
        <f t="shared" si="35"/>
        <v>1526</v>
      </c>
      <c r="AY38" s="13">
        <f t="shared" si="36"/>
        <v>86</v>
      </c>
      <c r="AZ38" s="13">
        <f t="shared" si="37"/>
        <v>1526</v>
      </c>
      <c r="BA38" s="13"/>
      <c r="BB38" s="13"/>
      <c r="BC38" s="10">
        <f t="shared" si="38"/>
        <v>2.2999999999999989</v>
      </c>
      <c r="BD38" s="10">
        <f t="shared" si="39"/>
        <v>2.2999999999999989</v>
      </c>
      <c r="BE38" s="13">
        <f t="shared" si="40"/>
        <v>1526</v>
      </c>
      <c r="BG38" s="9">
        <f t="shared" si="41"/>
        <v>12.86</v>
      </c>
      <c r="BH38" s="13">
        <f t="shared" si="42"/>
        <v>1526</v>
      </c>
      <c r="BJ38" s="13">
        <f t="shared" si="43"/>
        <v>155</v>
      </c>
      <c r="BK38" s="13">
        <f t="shared" si="44"/>
        <v>1526</v>
      </c>
      <c r="BL38" s="13"/>
      <c r="BM38" s="13">
        <f t="shared" si="45"/>
        <v>22.224</v>
      </c>
      <c r="BN38" s="13">
        <f t="shared" si="46"/>
        <v>1526</v>
      </c>
      <c r="BO38" s="13"/>
      <c r="BP38" s="13"/>
      <c r="BQ38" s="10"/>
      <c r="BR38" s="10">
        <f t="shared" si="54"/>
        <v>21.5</v>
      </c>
      <c r="BS38">
        <v>1000</v>
      </c>
      <c r="BT38" s="13"/>
      <c r="BV38" s="25">
        <f t="shared" si="15"/>
        <v>898.7636705994438</v>
      </c>
      <c r="BW38">
        <v>1000</v>
      </c>
      <c r="BX38" s="13"/>
      <c r="BZ38" s="10">
        <f t="shared" si="16"/>
        <v>17.399999999999999</v>
      </c>
      <c r="CA38" s="13">
        <f t="shared" si="17"/>
        <v>850</v>
      </c>
      <c r="CB38" s="9">
        <f t="shared" si="18"/>
        <v>15.1</v>
      </c>
      <c r="CC38" s="13">
        <f t="shared" si="47"/>
        <v>850</v>
      </c>
      <c r="CD38">
        <f t="shared" si="48"/>
        <v>1526</v>
      </c>
      <c r="CE38" s="13">
        <f t="shared" si="49"/>
        <v>850</v>
      </c>
      <c r="CF38" s="13"/>
      <c r="CV38" s="9">
        <f t="shared" si="55"/>
        <v>1.0191271962330462</v>
      </c>
      <c r="CW38" s="9">
        <f t="shared" si="50"/>
        <v>262.93086001665819</v>
      </c>
      <c r="CX38" s="9"/>
      <c r="CY38" s="9">
        <f t="shared" si="51"/>
        <v>1.0191271962330462</v>
      </c>
      <c r="CZ38" s="9">
        <f t="shared" si="52"/>
        <v>262.93086001665819</v>
      </c>
    </row>
    <row r="39" spans="1:104" x14ac:dyDescent="0.25">
      <c r="A39" s="8"/>
      <c r="B39" s="21" t="str">
        <f>'Eingabe Diagramme'!B32</f>
        <v xml:space="preserve">  848.0   1546   17.4   15.2     87  12.97    150     12  304.6  343.5  306.9</v>
      </c>
      <c r="C39" s="19"/>
      <c r="D39" s="19"/>
      <c r="E39" s="19"/>
      <c r="F39" s="19"/>
      <c r="G39" s="19"/>
      <c r="H39" s="19"/>
      <c r="I39" s="20"/>
      <c r="J39" s="19"/>
      <c r="K39" s="19"/>
      <c r="L39" s="11" t="str">
        <f t="shared" si="53"/>
        <v xml:space="preserve">  848.0</v>
      </c>
      <c r="M39" s="11" t="str">
        <f t="shared" si="1"/>
        <v xml:space="preserve"> 1546</v>
      </c>
      <c r="N39" s="11" t="str">
        <f t="shared" si="2"/>
        <v xml:space="preserve"> 17.4</v>
      </c>
      <c r="O39" s="11" t="str">
        <f t="shared" si="3"/>
        <v xml:space="preserve"> 15.2</v>
      </c>
      <c r="P39" s="11" t="str">
        <f t="shared" si="4"/>
        <v xml:space="preserve"> 87</v>
      </c>
      <c r="Q39" s="11" t="str">
        <f t="shared" si="5"/>
        <v>12.97</v>
      </c>
      <c r="R39" s="11" t="str">
        <f t="shared" si="6"/>
        <v>150</v>
      </c>
      <c r="S39" s="11" t="str">
        <f t="shared" si="19"/>
        <v xml:space="preserve"> 12</v>
      </c>
      <c r="T39" s="11" t="str">
        <f t="shared" si="20"/>
        <v>304.6</v>
      </c>
      <c r="U39" s="11" t="str">
        <f t="shared" si="21"/>
        <v>343.5</v>
      </c>
      <c r="V39" s="11" t="str">
        <f t="shared" si="22"/>
        <v>306.9</v>
      </c>
      <c r="W39" s="11"/>
      <c r="Y39" s="13">
        <f t="shared" si="7"/>
        <v>848</v>
      </c>
      <c r="Z39" s="13">
        <f t="shared" si="8"/>
        <v>1546</v>
      </c>
      <c r="AA39" s="10">
        <f t="shared" si="9"/>
        <v>17.399999999999999</v>
      </c>
      <c r="AB39" s="10">
        <f t="shared" si="10"/>
        <v>15.2</v>
      </c>
      <c r="AC39" s="13">
        <f t="shared" si="11"/>
        <v>87</v>
      </c>
      <c r="AD39" s="9">
        <f t="shared" si="12"/>
        <v>12.97</v>
      </c>
      <c r="AE39" s="13">
        <f t="shared" si="13"/>
        <v>150</v>
      </c>
      <c r="AF39" s="13">
        <f t="shared" si="14"/>
        <v>12</v>
      </c>
      <c r="AG39" s="27">
        <f t="shared" si="23"/>
        <v>22.224</v>
      </c>
      <c r="AH39" s="29">
        <f t="shared" si="24"/>
        <v>304.60000000000002</v>
      </c>
      <c r="AI39" s="29">
        <f t="shared" si="25"/>
        <v>343.5</v>
      </c>
      <c r="AJ39" s="29">
        <f t="shared" si="26"/>
        <v>306.89999999999998</v>
      </c>
      <c r="AK39" s="27">
        <f t="shared" si="27"/>
        <v>31.450000000000045</v>
      </c>
      <c r="AL39" s="27">
        <f t="shared" si="28"/>
        <v>70.350000000000023</v>
      </c>
      <c r="AM39" s="27">
        <f t="shared" si="29"/>
        <v>33.75</v>
      </c>
      <c r="AP39" s="10">
        <f t="shared" si="30"/>
        <v>15.2</v>
      </c>
      <c r="AQ39" s="13">
        <f t="shared" si="31"/>
        <v>1546</v>
      </c>
      <c r="AR39" s="10">
        <f t="shared" si="32"/>
        <v>17.399999999999999</v>
      </c>
      <c r="AS39" s="13">
        <f t="shared" si="33"/>
        <v>1546</v>
      </c>
      <c r="AV39" s="13">
        <f t="shared" si="34"/>
        <v>848</v>
      </c>
      <c r="AW39" s="13">
        <f t="shared" si="35"/>
        <v>1546</v>
      </c>
      <c r="AY39" s="13">
        <f t="shared" si="36"/>
        <v>87</v>
      </c>
      <c r="AZ39" s="13">
        <f t="shared" si="37"/>
        <v>1546</v>
      </c>
      <c r="BA39" s="13"/>
      <c r="BB39" s="13"/>
      <c r="BC39" s="10">
        <f t="shared" si="38"/>
        <v>2.1999999999999993</v>
      </c>
      <c r="BD39" s="10">
        <f t="shared" si="39"/>
        <v>2.1999999999999993</v>
      </c>
      <c r="BE39" s="13">
        <f t="shared" si="40"/>
        <v>1546</v>
      </c>
      <c r="BG39" s="9">
        <f t="shared" si="41"/>
        <v>12.97</v>
      </c>
      <c r="BH39" s="13">
        <f t="shared" si="42"/>
        <v>1546</v>
      </c>
      <c r="BJ39" s="13">
        <f t="shared" si="43"/>
        <v>150</v>
      </c>
      <c r="BK39" s="13">
        <f t="shared" si="44"/>
        <v>1546</v>
      </c>
      <c r="BL39" s="13"/>
      <c r="BM39" s="13">
        <f t="shared" si="45"/>
        <v>22.224</v>
      </c>
      <c r="BN39" s="13">
        <f t="shared" si="46"/>
        <v>1546</v>
      </c>
      <c r="BO39" s="13"/>
      <c r="BP39" s="13"/>
      <c r="BQ39" s="10"/>
      <c r="BR39" s="10">
        <f t="shared" si="54"/>
        <v>20.85</v>
      </c>
      <c r="BS39">
        <v>1100</v>
      </c>
      <c r="BT39" s="13"/>
      <c r="BV39" s="25">
        <f t="shared" si="15"/>
        <v>887.91717130454788</v>
      </c>
      <c r="BW39">
        <v>1100</v>
      </c>
      <c r="BX39" s="13"/>
      <c r="BZ39" s="10">
        <f t="shared" si="16"/>
        <v>17.399999999999999</v>
      </c>
      <c r="CA39" s="13">
        <f t="shared" si="17"/>
        <v>848</v>
      </c>
      <c r="CB39" s="9">
        <f t="shared" si="18"/>
        <v>15.2</v>
      </c>
      <c r="CC39" s="13">
        <f t="shared" si="47"/>
        <v>848</v>
      </c>
      <c r="CD39">
        <f t="shared" si="48"/>
        <v>1546</v>
      </c>
      <c r="CE39" s="13">
        <f t="shared" si="49"/>
        <v>848</v>
      </c>
      <c r="CF39" s="13"/>
      <c r="CV39" s="9">
        <f t="shared" si="55"/>
        <v>1.0167292498889684</v>
      </c>
      <c r="CW39" s="9">
        <f t="shared" si="50"/>
        <v>1142.0252212547825</v>
      </c>
      <c r="CX39" s="9"/>
      <c r="CY39" s="9">
        <f t="shared" si="51"/>
        <v>1.0167292498889684</v>
      </c>
      <c r="CZ39" s="9">
        <f t="shared" si="52"/>
        <v>1142.0252212547825</v>
      </c>
    </row>
    <row r="40" spans="1:104" x14ac:dyDescent="0.25">
      <c r="A40" s="8"/>
      <c r="B40" s="21" t="str">
        <f>'Eingabe Diagramme'!B33</f>
        <v xml:space="preserve">  839.0   1638   17.2   13.3     78  11.57    155     13  305.3  340.2  307.4</v>
      </c>
      <c r="C40" s="19"/>
      <c r="D40" s="19"/>
      <c r="E40" s="19"/>
      <c r="F40" s="19"/>
      <c r="G40" s="19"/>
      <c r="H40" s="19"/>
      <c r="I40" s="20"/>
      <c r="J40" s="19"/>
      <c r="K40" s="19"/>
      <c r="L40" s="11" t="str">
        <f t="shared" si="53"/>
        <v xml:space="preserve">  839.0</v>
      </c>
      <c r="M40" s="11" t="str">
        <f t="shared" si="1"/>
        <v xml:space="preserve"> 1638</v>
      </c>
      <c r="N40" s="11" t="str">
        <f t="shared" si="2"/>
        <v xml:space="preserve"> 17.2</v>
      </c>
      <c r="O40" s="11" t="str">
        <f t="shared" si="3"/>
        <v xml:space="preserve"> 13.3</v>
      </c>
      <c r="P40" s="11" t="str">
        <f t="shared" si="4"/>
        <v xml:space="preserve"> 78</v>
      </c>
      <c r="Q40" s="11" t="str">
        <f t="shared" si="5"/>
        <v>11.57</v>
      </c>
      <c r="R40" s="11" t="str">
        <f t="shared" si="6"/>
        <v>155</v>
      </c>
      <c r="S40" s="11" t="str">
        <f t="shared" si="19"/>
        <v xml:space="preserve"> 13</v>
      </c>
      <c r="T40" s="11" t="str">
        <f t="shared" si="20"/>
        <v>305.3</v>
      </c>
      <c r="U40" s="11" t="str">
        <f t="shared" si="21"/>
        <v>340.2</v>
      </c>
      <c r="V40" s="11" t="str">
        <f t="shared" si="22"/>
        <v>307.4</v>
      </c>
      <c r="W40" s="11"/>
      <c r="Y40" s="13">
        <f t="shared" si="7"/>
        <v>839</v>
      </c>
      <c r="Z40" s="13">
        <f t="shared" si="8"/>
        <v>1638</v>
      </c>
      <c r="AA40" s="10">
        <f t="shared" si="9"/>
        <v>17.2</v>
      </c>
      <c r="AB40" s="10">
        <f t="shared" si="10"/>
        <v>13.3</v>
      </c>
      <c r="AC40" s="13">
        <f t="shared" si="11"/>
        <v>78</v>
      </c>
      <c r="AD40" s="9">
        <f t="shared" si="12"/>
        <v>11.57</v>
      </c>
      <c r="AE40" s="13">
        <f t="shared" si="13"/>
        <v>155</v>
      </c>
      <c r="AF40" s="13">
        <f t="shared" si="14"/>
        <v>13</v>
      </c>
      <c r="AG40" s="27">
        <f t="shared" si="23"/>
        <v>24.076000000000001</v>
      </c>
      <c r="AH40" s="29">
        <f t="shared" si="24"/>
        <v>305.3</v>
      </c>
      <c r="AI40" s="29">
        <f t="shared" si="25"/>
        <v>340.2</v>
      </c>
      <c r="AJ40" s="29">
        <f t="shared" si="26"/>
        <v>307.39999999999998</v>
      </c>
      <c r="AK40" s="27">
        <f t="shared" si="27"/>
        <v>32.150000000000034</v>
      </c>
      <c r="AL40" s="27">
        <f t="shared" si="28"/>
        <v>67.050000000000011</v>
      </c>
      <c r="AM40" s="27">
        <f t="shared" si="29"/>
        <v>34.25</v>
      </c>
      <c r="AP40" s="10">
        <f t="shared" si="30"/>
        <v>13.3</v>
      </c>
      <c r="AQ40" s="13">
        <f t="shared" si="31"/>
        <v>1638</v>
      </c>
      <c r="AR40" s="10">
        <f t="shared" si="32"/>
        <v>17.2</v>
      </c>
      <c r="AS40" s="13">
        <f t="shared" si="33"/>
        <v>1638</v>
      </c>
      <c r="AV40" s="13">
        <f t="shared" si="34"/>
        <v>839</v>
      </c>
      <c r="AW40" s="13">
        <f t="shared" si="35"/>
        <v>1638</v>
      </c>
      <c r="AY40" s="13">
        <f t="shared" si="36"/>
        <v>78</v>
      </c>
      <c r="AZ40" s="13">
        <f t="shared" si="37"/>
        <v>1638</v>
      </c>
      <c r="BA40" s="13"/>
      <c r="BB40" s="13"/>
      <c r="BC40" s="10">
        <f t="shared" si="38"/>
        <v>3.8999999999999986</v>
      </c>
      <c r="BD40" s="10">
        <f t="shared" si="39"/>
        <v>3.8999999999999986</v>
      </c>
      <c r="BE40" s="13">
        <f t="shared" si="40"/>
        <v>1638</v>
      </c>
      <c r="BG40" s="9">
        <f t="shared" si="41"/>
        <v>11.57</v>
      </c>
      <c r="BH40" s="13">
        <f t="shared" si="42"/>
        <v>1638</v>
      </c>
      <c r="BJ40" s="13">
        <f t="shared" si="43"/>
        <v>155</v>
      </c>
      <c r="BK40" s="13">
        <f t="shared" si="44"/>
        <v>1638</v>
      </c>
      <c r="BL40" s="13"/>
      <c r="BM40" s="13">
        <f t="shared" si="45"/>
        <v>24.076000000000001</v>
      </c>
      <c r="BN40" s="13">
        <f t="shared" si="46"/>
        <v>1638</v>
      </c>
      <c r="BO40" s="13"/>
      <c r="BP40" s="13"/>
      <c r="BQ40" s="10"/>
      <c r="BR40" s="10">
        <f t="shared" si="54"/>
        <v>20.2</v>
      </c>
      <c r="BS40">
        <v>1200</v>
      </c>
      <c r="BT40" s="13"/>
      <c r="BV40" s="25">
        <f t="shared" si="15"/>
        <v>877.17690520251165</v>
      </c>
      <c r="BW40">
        <v>1200</v>
      </c>
      <c r="BX40" s="13"/>
      <c r="BZ40" s="10">
        <f t="shared" si="16"/>
        <v>17.2</v>
      </c>
      <c r="CA40" s="13">
        <f t="shared" si="17"/>
        <v>839</v>
      </c>
      <c r="CB40" s="9">
        <f t="shared" si="18"/>
        <v>13.3</v>
      </c>
      <c r="CC40" s="13">
        <f t="shared" si="47"/>
        <v>839</v>
      </c>
      <c r="CD40">
        <f t="shared" si="48"/>
        <v>1638</v>
      </c>
      <c r="CE40" s="13">
        <f t="shared" si="49"/>
        <v>839</v>
      </c>
      <c r="CF40" s="13"/>
      <c r="CV40" s="9">
        <f t="shared" si="55"/>
        <v>1.0066314057482924</v>
      </c>
      <c r="CW40" s="9">
        <f t="shared" si="50"/>
        <v>882.62009948053765</v>
      </c>
      <c r="CX40" s="9"/>
      <c r="CY40" s="9">
        <f t="shared" si="51"/>
        <v>1.0066314057482924</v>
      </c>
      <c r="CZ40" s="9">
        <f t="shared" si="52"/>
        <v>882.62009948053765</v>
      </c>
    </row>
    <row r="41" spans="1:104" x14ac:dyDescent="0.25">
      <c r="A41" s="8"/>
      <c r="B41" s="21" t="str">
        <f>'Eingabe Diagramme'!B34</f>
        <v xml:space="preserve">  830.0   1730   18.0    7.0     49   7.62    159     14  307.1  330.5  308.5</v>
      </c>
      <c r="C41" s="19"/>
      <c r="D41" s="19"/>
      <c r="E41" s="19"/>
      <c r="F41" s="19"/>
      <c r="G41" s="19"/>
      <c r="H41" s="19"/>
      <c r="I41" s="20"/>
      <c r="J41" s="19"/>
      <c r="K41" s="19"/>
      <c r="L41" s="11" t="str">
        <f t="shared" si="53"/>
        <v xml:space="preserve">  830.0</v>
      </c>
      <c r="M41" s="11" t="str">
        <f t="shared" si="1"/>
        <v xml:space="preserve"> 1730</v>
      </c>
      <c r="N41" s="11" t="str">
        <f t="shared" si="2"/>
        <v xml:space="preserve"> 18.0</v>
      </c>
      <c r="O41" s="11" t="str">
        <f t="shared" si="3"/>
        <v xml:space="preserve">  7.0</v>
      </c>
      <c r="P41" s="11" t="str">
        <f t="shared" si="4"/>
        <v xml:space="preserve"> 49</v>
      </c>
      <c r="Q41" s="11" t="str">
        <f t="shared" si="5"/>
        <v xml:space="preserve"> 7.62</v>
      </c>
      <c r="R41" s="11" t="str">
        <f t="shared" si="6"/>
        <v>159</v>
      </c>
      <c r="S41" s="11" t="str">
        <f t="shared" si="19"/>
        <v xml:space="preserve"> 14</v>
      </c>
      <c r="T41" s="11" t="str">
        <f t="shared" si="20"/>
        <v>307.1</v>
      </c>
      <c r="U41" s="11" t="str">
        <f t="shared" si="21"/>
        <v>330.5</v>
      </c>
      <c r="V41" s="11" t="str">
        <f t="shared" si="22"/>
        <v>308.5</v>
      </c>
      <c r="W41" s="11"/>
      <c r="Y41" s="13">
        <f t="shared" si="7"/>
        <v>830</v>
      </c>
      <c r="Z41" s="13">
        <f t="shared" si="8"/>
        <v>1730</v>
      </c>
      <c r="AA41" s="10">
        <f t="shared" si="9"/>
        <v>18</v>
      </c>
      <c r="AB41" s="10">
        <f t="shared" si="10"/>
        <v>7</v>
      </c>
      <c r="AC41" s="13">
        <f t="shared" si="11"/>
        <v>49</v>
      </c>
      <c r="AD41" s="9">
        <f t="shared" si="12"/>
        <v>7.62</v>
      </c>
      <c r="AE41" s="13">
        <f t="shared" si="13"/>
        <v>159</v>
      </c>
      <c r="AF41" s="13">
        <f t="shared" si="14"/>
        <v>14</v>
      </c>
      <c r="AG41" s="27">
        <f t="shared" si="23"/>
        <v>25.928000000000001</v>
      </c>
      <c r="AH41" s="29">
        <f t="shared" si="24"/>
        <v>307.10000000000002</v>
      </c>
      <c r="AI41" s="29">
        <f t="shared" si="25"/>
        <v>330.5</v>
      </c>
      <c r="AJ41" s="29">
        <f t="shared" si="26"/>
        <v>308.5</v>
      </c>
      <c r="AK41" s="27">
        <f t="shared" si="27"/>
        <v>33.950000000000045</v>
      </c>
      <c r="AL41" s="27">
        <f t="shared" si="28"/>
        <v>57.350000000000023</v>
      </c>
      <c r="AM41" s="27">
        <f t="shared" si="29"/>
        <v>35.350000000000023</v>
      </c>
      <c r="AP41" s="10">
        <f t="shared" si="30"/>
        <v>7</v>
      </c>
      <c r="AQ41" s="13">
        <f t="shared" si="31"/>
        <v>1730</v>
      </c>
      <c r="AR41" s="10">
        <f t="shared" si="32"/>
        <v>18</v>
      </c>
      <c r="AS41" s="13">
        <f t="shared" si="33"/>
        <v>1730</v>
      </c>
      <c r="AV41" s="13">
        <f t="shared" si="34"/>
        <v>830</v>
      </c>
      <c r="AW41" s="13">
        <f t="shared" si="35"/>
        <v>1730</v>
      </c>
      <c r="AY41" s="13">
        <f t="shared" si="36"/>
        <v>49</v>
      </c>
      <c r="AZ41" s="13">
        <f t="shared" si="37"/>
        <v>1730</v>
      </c>
      <c r="BA41" s="13"/>
      <c r="BB41" s="13"/>
      <c r="BC41" s="10">
        <f t="shared" si="38"/>
        <v>11</v>
      </c>
      <c r="BD41" s="10">
        <f t="shared" si="39"/>
        <v>11</v>
      </c>
      <c r="BE41" s="13">
        <f t="shared" si="40"/>
        <v>1730</v>
      </c>
      <c r="BG41" s="9">
        <f t="shared" si="41"/>
        <v>7.62</v>
      </c>
      <c r="BH41" s="13">
        <f t="shared" si="42"/>
        <v>1730</v>
      </c>
      <c r="BJ41" s="13">
        <f t="shared" si="43"/>
        <v>159</v>
      </c>
      <c r="BK41" s="13">
        <f t="shared" si="44"/>
        <v>1730</v>
      </c>
      <c r="BL41" s="13"/>
      <c r="BM41" s="13">
        <f t="shared" si="45"/>
        <v>25.928000000000001</v>
      </c>
      <c r="BN41" s="13">
        <f t="shared" si="46"/>
        <v>1730</v>
      </c>
      <c r="BO41" s="13"/>
      <c r="BP41" s="13"/>
      <c r="BQ41" s="10"/>
      <c r="BR41" s="10">
        <f t="shared" si="54"/>
        <v>19.55</v>
      </c>
      <c r="BS41">
        <v>1300</v>
      </c>
      <c r="BT41" s="13"/>
      <c r="BV41" s="25">
        <f t="shared" si="15"/>
        <v>866.54207451115929</v>
      </c>
      <c r="BW41">
        <v>1300</v>
      </c>
      <c r="BX41" s="13"/>
      <c r="BZ41" s="10">
        <f t="shared" si="16"/>
        <v>18</v>
      </c>
      <c r="CA41" s="13">
        <f t="shared" si="17"/>
        <v>830</v>
      </c>
      <c r="CB41" s="9">
        <f t="shared" si="18"/>
        <v>7</v>
      </c>
      <c r="CC41" s="13">
        <f t="shared" si="47"/>
        <v>830</v>
      </c>
      <c r="CD41">
        <f t="shared" si="48"/>
        <v>1730</v>
      </c>
      <c r="CE41" s="13">
        <f t="shared" si="49"/>
        <v>830</v>
      </c>
      <c r="CF41" s="13"/>
      <c r="CV41" s="9">
        <f t="shared" si="55"/>
        <v>0.99309693890707063</v>
      </c>
      <c r="CW41" s="9">
        <f t="shared" si="50"/>
        <v>75.293950331544636</v>
      </c>
      <c r="CX41" s="9"/>
      <c r="CY41" s="9">
        <f t="shared" si="51"/>
        <v>0.99309693890707063</v>
      </c>
      <c r="CZ41" s="9">
        <f t="shared" si="52"/>
        <v>75.293950331544636</v>
      </c>
    </row>
    <row r="42" spans="1:104" x14ac:dyDescent="0.25">
      <c r="A42" s="8"/>
      <c r="B42" s="21" t="str">
        <f>'Eingabe Diagramme'!B35</f>
        <v xml:space="preserve">  829.0   1740   17.9    6.8     48   7.55    160     14  307.1  330.4  308.5</v>
      </c>
      <c r="C42" s="19"/>
      <c r="D42" s="19"/>
      <c r="E42" s="19"/>
      <c r="F42" s="19"/>
      <c r="G42" s="19"/>
      <c r="H42" s="19"/>
      <c r="I42" s="20"/>
      <c r="J42" s="19"/>
      <c r="K42" s="19"/>
      <c r="L42" s="11" t="str">
        <f t="shared" si="53"/>
        <v xml:space="preserve">  829.0</v>
      </c>
      <c r="M42" s="11" t="str">
        <f t="shared" si="1"/>
        <v xml:space="preserve"> 1740</v>
      </c>
      <c r="N42" s="11" t="str">
        <f t="shared" si="2"/>
        <v xml:space="preserve"> 17.9</v>
      </c>
      <c r="O42" s="11" t="str">
        <f t="shared" si="3"/>
        <v xml:space="preserve">  6.8</v>
      </c>
      <c r="P42" s="11" t="str">
        <f t="shared" si="4"/>
        <v xml:space="preserve"> 48</v>
      </c>
      <c r="Q42" s="11" t="str">
        <f t="shared" si="5"/>
        <v xml:space="preserve"> 7.55</v>
      </c>
      <c r="R42" s="11" t="str">
        <f t="shared" si="6"/>
        <v>160</v>
      </c>
      <c r="S42" s="11" t="str">
        <f t="shared" si="19"/>
        <v xml:space="preserve"> 14</v>
      </c>
      <c r="T42" s="11" t="str">
        <f t="shared" si="20"/>
        <v>307.1</v>
      </c>
      <c r="U42" s="11" t="str">
        <f t="shared" si="21"/>
        <v>330.4</v>
      </c>
      <c r="V42" s="11" t="str">
        <f t="shared" si="22"/>
        <v>308.5</v>
      </c>
      <c r="W42" s="11"/>
      <c r="Y42" s="13">
        <f t="shared" si="7"/>
        <v>829</v>
      </c>
      <c r="Z42" s="13">
        <f t="shared" si="8"/>
        <v>1740</v>
      </c>
      <c r="AA42" s="10">
        <f t="shared" si="9"/>
        <v>17.899999999999999</v>
      </c>
      <c r="AB42" s="10">
        <f t="shared" si="10"/>
        <v>6.8</v>
      </c>
      <c r="AC42" s="13">
        <f t="shared" si="11"/>
        <v>48</v>
      </c>
      <c r="AD42" s="9">
        <f t="shared" si="12"/>
        <v>7.55</v>
      </c>
      <c r="AE42" s="13">
        <f t="shared" si="13"/>
        <v>160</v>
      </c>
      <c r="AF42" s="13">
        <f t="shared" si="14"/>
        <v>14</v>
      </c>
      <c r="AG42" s="27">
        <f t="shared" si="23"/>
        <v>25.928000000000001</v>
      </c>
      <c r="AH42" s="29">
        <f t="shared" si="24"/>
        <v>307.10000000000002</v>
      </c>
      <c r="AI42" s="29">
        <f t="shared" si="25"/>
        <v>330.4</v>
      </c>
      <c r="AJ42" s="29">
        <f t="shared" si="26"/>
        <v>308.5</v>
      </c>
      <c r="AK42" s="27">
        <f t="shared" si="27"/>
        <v>33.950000000000045</v>
      </c>
      <c r="AL42" s="27">
        <f t="shared" si="28"/>
        <v>57.25</v>
      </c>
      <c r="AM42" s="27">
        <f t="shared" si="29"/>
        <v>35.350000000000023</v>
      </c>
      <c r="AP42" s="10">
        <f t="shared" si="30"/>
        <v>6.8</v>
      </c>
      <c r="AQ42" s="13">
        <f t="shared" si="31"/>
        <v>1740</v>
      </c>
      <c r="AR42" s="10">
        <f t="shared" si="32"/>
        <v>17.899999999999999</v>
      </c>
      <c r="AS42" s="13">
        <f t="shared" si="33"/>
        <v>1740</v>
      </c>
      <c r="AV42" s="13">
        <f t="shared" si="34"/>
        <v>829</v>
      </c>
      <c r="AW42" s="13">
        <f t="shared" si="35"/>
        <v>1740</v>
      </c>
      <c r="AY42" s="13">
        <f t="shared" si="36"/>
        <v>48</v>
      </c>
      <c r="AZ42" s="13">
        <f t="shared" si="37"/>
        <v>1740</v>
      </c>
      <c r="BA42" s="13"/>
      <c r="BB42" s="13"/>
      <c r="BC42" s="10">
        <f t="shared" si="38"/>
        <v>11.099999999999998</v>
      </c>
      <c r="BD42" s="10">
        <f t="shared" si="39"/>
        <v>11.099999999999998</v>
      </c>
      <c r="BE42" s="13">
        <f t="shared" si="40"/>
        <v>1740</v>
      </c>
      <c r="BG42" s="9">
        <f t="shared" si="41"/>
        <v>7.55</v>
      </c>
      <c r="BH42" s="13">
        <f t="shared" si="42"/>
        <v>1740</v>
      </c>
      <c r="BJ42" s="13">
        <f t="shared" si="43"/>
        <v>160</v>
      </c>
      <c r="BK42" s="13">
        <f t="shared" si="44"/>
        <v>1740</v>
      </c>
      <c r="BL42" s="13"/>
      <c r="BM42" s="13">
        <f t="shared" si="45"/>
        <v>25.928000000000001</v>
      </c>
      <c r="BN42" s="13">
        <f t="shared" si="46"/>
        <v>1740</v>
      </c>
      <c r="BO42" s="13"/>
      <c r="BP42" s="13"/>
      <c r="BQ42" s="10"/>
      <c r="BR42" s="10">
        <f t="shared" si="54"/>
        <v>18.899999999999999</v>
      </c>
      <c r="BS42">
        <v>1400</v>
      </c>
      <c r="BT42" s="13"/>
      <c r="BV42" s="25">
        <f t="shared" si="15"/>
        <v>856.01188560845731</v>
      </c>
      <c r="BW42">
        <v>1400</v>
      </c>
      <c r="BX42" s="13"/>
      <c r="BZ42" s="10">
        <f t="shared" si="16"/>
        <v>17.899999999999999</v>
      </c>
      <c r="CA42" s="13">
        <f t="shared" si="17"/>
        <v>829</v>
      </c>
      <c r="CB42" s="9">
        <f t="shared" si="18"/>
        <v>6.8</v>
      </c>
      <c r="CC42" s="13">
        <f t="shared" si="47"/>
        <v>829</v>
      </c>
      <c r="CD42">
        <f t="shared" si="48"/>
        <v>1740</v>
      </c>
      <c r="CE42" s="13">
        <f t="shared" si="49"/>
        <v>829</v>
      </c>
      <c r="CF42" s="13"/>
      <c r="CV42" s="9">
        <f t="shared" si="55"/>
        <v>0.99224123727077052</v>
      </c>
      <c r="CW42" s="9">
        <f t="shared" si="50"/>
        <v>1960.1688759935371</v>
      </c>
      <c r="CX42" s="9"/>
      <c r="CY42" s="9">
        <f t="shared" si="51"/>
        <v>0.99224123727077052</v>
      </c>
      <c r="CZ42" s="9">
        <f t="shared" si="52"/>
        <v>1960.1688759935371</v>
      </c>
    </row>
    <row r="43" spans="1:104" x14ac:dyDescent="0.25">
      <c r="A43" s="8"/>
      <c r="B43" s="21" t="str">
        <f>'Eingabe Diagramme'!B36</f>
        <v xml:space="preserve">  800.0   2044   16.2    2.2     39   5.64    173     11  308.4  326.1  309.4</v>
      </c>
      <c r="C43" s="19"/>
      <c r="D43" s="19"/>
      <c r="E43" s="19"/>
      <c r="F43" s="19"/>
      <c r="G43" s="19"/>
      <c r="H43" s="19"/>
      <c r="I43" s="20"/>
      <c r="J43" s="19"/>
      <c r="K43" s="19"/>
      <c r="L43" s="11" t="str">
        <f t="shared" si="53"/>
        <v xml:space="preserve">  800.0</v>
      </c>
      <c r="M43" s="11" t="str">
        <f t="shared" si="1"/>
        <v xml:space="preserve"> 2044</v>
      </c>
      <c r="N43" s="11" t="str">
        <f t="shared" si="2"/>
        <v xml:space="preserve"> 16.2</v>
      </c>
      <c r="O43" s="11" t="str">
        <f t="shared" si="3"/>
        <v xml:space="preserve">  2.2</v>
      </c>
      <c r="P43" s="11" t="str">
        <f t="shared" si="4"/>
        <v xml:space="preserve"> 39</v>
      </c>
      <c r="Q43" s="11" t="str">
        <f t="shared" si="5"/>
        <v xml:space="preserve"> 5.64</v>
      </c>
      <c r="R43" s="11" t="str">
        <f t="shared" si="6"/>
        <v>173</v>
      </c>
      <c r="S43" s="11" t="str">
        <f t="shared" si="19"/>
        <v xml:space="preserve"> 11</v>
      </c>
      <c r="T43" s="11" t="str">
        <f t="shared" si="20"/>
        <v>308.4</v>
      </c>
      <c r="U43" s="11" t="str">
        <f t="shared" si="21"/>
        <v>326.1</v>
      </c>
      <c r="V43" s="11" t="str">
        <f t="shared" si="22"/>
        <v>309.4</v>
      </c>
      <c r="W43" s="11"/>
      <c r="Y43" s="13">
        <f t="shared" si="7"/>
        <v>800</v>
      </c>
      <c r="Z43" s="13">
        <f t="shared" si="8"/>
        <v>2044</v>
      </c>
      <c r="AA43" s="10">
        <f t="shared" si="9"/>
        <v>16.2</v>
      </c>
      <c r="AB43" s="10">
        <f t="shared" si="10"/>
        <v>2.2000000000000002</v>
      </c>
      <c r="AC43" s="13">
        <f t="shared" si="11"/>
        <v>39</v>
      </c>
      <c r="AD43" s="9">
        <f t="shared" si="12"/>
        <v>5.64</v>
      </c>
      <c r="AE43" s="13">
        <f t="shared" si="13"/>
        <v>173</v>
      </c>
      <c r="AF43" s="13">
        <f t="shared" si="14"/>
        <v>11</v>
      </c>
      <c r="AG43" s="27">
        <f t="shared" si="23"/>
        <v>20.372</v>
      </c>
      <c r="AH43" s="29">
        <f t="shared" si="24"/>
        <v>308.39999999999998</v>
      </c>
      <c r="AI43" s="29">
        <f t="shared" si="25"/>
        <v>326.10000000000002</v>
      </c>
      <c r="AJ43" s="29">
        <f t="shared" si="26"/>
        <v>309.39999999999998</v>
      </c>
      <c r="AK43" s="27">
        <f t="shared" si="27"/>
        <v>35.25</v>
      </c>
      <c r="AL43" s="27">
        <f t="shared" si="28"/>
        <v>52.950000000000045</v>
      </c>
      <c r="AM43" s="27">
        <f t="shared" si="29"/>
        <v>36.25</v>
      </c>
      <c r="AP43" s="10">
        <f t="shared" si="30"/>
        <v>2.2000000000000002</v>
      </c>
      <c r="AQ43" s="13">
        <f t="shared" si="31"/>
        <v>2044</v>
      </c>
      <c r="AR43" s="10">
        <f t="shared" si="32"/>
        <v>16.2</v>
      </c>
      <c r="AS43" s="13">
        <f t="shared" si="33"/>
        <v>2044</v>
      </c>
      <c r="AV43" s="13">
        <f t="shared" si="34"/>
        <v>800</v>
      </c>
      <c r="AW43" s="13">
        <f t="shared" si="35"/>
        <v>2044</v>
      </c>
      <c r="AY43" s="13">
        <f t="shared" si="36"/>
        <v>39</v>
      </c>
      <c r="AZ43" s="13">
        <f t="shared" si="37"/>
        <v>2044</v>
      </c>
      <c r="BA43" s="13"/>
      <c r="BB43" s="13"/>
      <c r="BC43" s="10">
        <f t="shared" si="38"/>
        <v>14</v>
      </c>
      <c r="BD43" s="10">
        <f t="shared" si="39"/>
        <v>14</v>
      </c>
      <c r="BE43" s="13">
        <f t="shared" si="40"/>
        <v>2044</v>
      </c>
      <c r="BG43" s="9">
        <f t="shared" si="41"/>
        <v>5.64</v>
      </c>
      <c r="BH43" s="13">
        <f t="shared" si="42"/>
        <v>2044</v>
      </c>
      <c r="BJ43" s="13">
        <f t="shared" si="43"/>
        <v>173</v>
      </c>
      <c r="BK43" s="13">
        <f t="shared" si="44"/>
        <v>2044</v>
      </c>
      <c r="BL43" s="13"/>
      <c r="BM43" s="13">
        <f t="shared" si="45"/>
        <v>20.372</v>
      </c>
      <c r="BN43" s="13">
        <f t="shared" si="46"/>
        <v>2044</v>
      </c>
      <c r="BO43" s="13"/>
      <c r="BP43" s="13"/>
      <c r="BQ43" s="10"/>
      <c r="BR43" s="10">
        <f t="shared" si="54"/>
        <v>18.25</v>
      </c>
      <c r="BS43">
        <v>1500</v>
      </c>
      <c r="BT43" s="13"/>
      <c r="BV43" s="25">
        <f t="shared" si="15"/>
        <v>845.58554902041487</v>
      </c>
      <c r="BW43">
        <v>1500</v>
      </c>
      <c r="BX43" s="13"/>
      <c r="BZ43" s="10">
        <f t="shared" si="16"/>
        <v>16.2</v>
      </c>
      <c r="CA43" s="13">
        <f t="shared" si="17"/>
        <v>800</v>
      </c>
      <c r="CB43" s="9">
        <f t="shared" si="18"/>
        <v>2.2000000000000002</v>
      </c>
      <c r="CC43" s="13">
        <f t="shared" si="47"/>
        <v>800</v>
      </c>
      <c r="CD43">
        <f t="shared" si="48"/>
        <v>2044</v>
      </c>
      <c r="CE43" s="13">
        <f t="shared" si="49"/>
        <v>800</v>
      </c>
      <c r="CF43" s="13"/>
      <c r="CV43" s="9">
        <f t="shared" si="55"/>
        <v>0.96315646832112234</v>
      </c>
      <c r="CW43" s="9">
        <f t="shared" si="50"/>
        <v>224.87386579193347</v>
      </c>
      <c r="CX43" s="9"/>
      <c r="CY43" s="9">
        <f t="shared" si="51"/>
        <v>0.96315646832112234</v>
      </c>
      <c r="CZ43" s="9">
        <f t="shared" si="52"/>
        <v>224.87386579193347</v>
      </c>
    </row>
    <row r="44" spans="1:104" x14ac:dyDescent="0.25">
      <c r="A44" s="8"/>
      <c r="B44" s="21" t="str">
        <f>'Eingabe Diagramme'!B37</f>
        <v xml:space="preserve">  796.0   2086   15.9    1.8     38   5.50    175     10  308.6  325.8  309.6</v>
      </c>
      <c r="C44" s="19"/>
      <c r="D44" s="19"/>
      <c r="E44" s="19"/>
      <c r="F44" s="19"/>
      <c r="G44" s="19"/>
      <c r="H44" s="19"/>
      <c r="I44" s="20"/>
      <c r="J44" s="19"/>
      <c r="K44" s="19"/>
      <c r="L44" s="11" t="str">
        <f t="shared" si="53"/>
        <v xml:space="preserve">  796.0</v>
      </c>
      <c r="M44" s="11" t="str">
        <f t="shared" si="1"/>
        <v xml:space="preserve"> 2086</v>
      </c>
      <c r="N44" s="11" t="str">
        <f t="shared" si="2"/>
        <v xml:space="preserve"> 15.9</v>
      </c>
      <c r="O44" s="11" t="str">
        <f t="shared" si="3"/>
        <v xml:space="preserve">  1.8</v>
      </c>
      <c r="P44" s="11" t="str">
        <f t="shared" si="4"/>
        <v xml:space="preserve"> 38</v>
      </c>
      <c r="Q44" s="11" t="str">
        <f t="shared" si="5"/>
        <v xml:space="preserve"> 5.50</v>
      </c>
      <c r="R44" s="11" t="str">
        <f t="shared" si="6"/>
        <v>175</v>
      </c>
      <c r="S44" s="11" t="str">
        <f t="shared" si="19"/>
        <v xml:space="preserve"> 10</v>
      </c>
      <c r="T44" s="11" t="str">
        <f t="shared" si="20"/>
        <v>308.6</v>
      </c>
      <c r="U44" s="11" t="str">
        <f t="shared" si="21"/>
        <v>325.8</v>
      </c>
      <c r="V44" s="11" t="str">
        <f t="shared" si="22"/>
        <v>309.6</v>
      </c>
      <c r="W44" s="11"/>
      <c r="Y44" s="13">
        <f t="shared" si="7"/>
        <v>796</v>
      </c>
      <c r="Z44" s="13">
        <f t="shared" si="8"/>
        <v>2086</v>
      </c>
      <c r="AA44" s="10">
        <f t="shared" si="9"/>
        <v>15.9</v>
      </c>
      <c r="AB44" s="10">
        <f t="shared" si="10"/>
        <v>1.8</v>
      </c>
      <c r="AC44" s="13">
        <f t="shared" si="11"/>
        <v>38</v>
      </c>
      <c r="AD44" s="9">
        <f t="shared" si="12"/>
        <v>5.5</v>
      </c>
      <c r="AE44" s="13">
        <f t="shared" si="13"/>
        <v>175</v>
      </c>
      <c r="AF44" s="13">
        <f t="shared" si="14"/>
        <v>10</v>
      </c>
      <c r="AG44" s="27">
        <f t="shared" si="23"/>
        <v>18.52</v>
      </c>
      <c r="AH44" s="29">
        <f t="shared" si="24"/>
        <v>308.60000000000002</v>
      </c>
      <c r="AI44" s="29">
        <f t="shared" si="25"/>
        <v>325.8</v>
      </c>
      <c r="AJ44" s="29">
        <f t="shared" si="26"/>
        <v>309.60000000000002</v>
      </c>
      <c r="AK44" s="27">
        <f t="shared" si="27"/>
        <v>35.450000000000045</v>
      </c>
      <c r="AL44" s="27">
        <f t="shared" si="28"/>
        <v>52.650000000000034</v>
      </c>
      <c r="AM44" s="27">
        <f t="shared" si="29"/>
        <v>36.450000000000045</v>
      </c>
      <c r="AP44" s="10">
        <f t="shared" si="30"/>
        <v>1.8</v>
      </c>
      <c r="AQ44" s="13">
        <f t="shared" si="31"/>
        <v>2086</v>
      </c>
      <c r="AR44" s="10">
        <f t="shared" si="32"/>
        <v>15.9</v>
      </c>
      <c r="AS44" s="13">
        <f t="shared" si="33"/>
        <v>2086</v>
      </c>
      <c r="AV44" s="13">
        <f t="shared" si="34"/>
        <v>796</v>
      </c>
      <c r="AW44" s="13">
        <f t="shared" si="35"/>
        <v>2086</v>
      </c>
      <c r="AY44" s="13">
        <f t="shared" si="36"/>
        <v>38</v>
      </c>
      <c r="AZ44" s="13">
        <f t="shared" si="37"/>
        <v>2086</v>
      </c>
      <c r="BA44" s="13"/>
      <c r="BB44" s="13"/>
      <c r="BC44" s="10">
        <f t="shared" si="38"/>
        <v>14.1</v>
      </c>
      <c r="BD44" s="10">
        <f t="shared" si="39"/>
        <v>14.1</v>
      </c>
      <c r="BE44" s="13">
        <f t="shared" si="40"/>
        <v>2086</v>
      </c>
      <c r="BG44" s="9">
        <f t="shared" si="41"/>
        <v>5.5</v>
      </c>
      <c r="BH44" s="13">
        <f t="shared" si="42"/>
        <v>2086</v>
      </c>
      <c r="BJ44" s="13">
        <f t="shared" si="43"/>
        <v>175</v>
      </c>
      <c r="BK44" s="13">
        <f t="shared" si="44"/>
        <v>2086</v>
      </c>
      <c r="BL44" s="13"/>
      <c r="BM44" s="13">
        <f t="shared" si="45"/>
        <v>18.52</v>
      </c>
      <c r="BN44" s="13">
        <f t="shared" si="46"/>
        <v>2086</v>
      </c>
      <c r="BO44" s="13"/>
      <c r="BP44" s="13"/>
      <c r="BQ44" s="10"/>
      <c r="BR44" s="10">
        <f t="shared" si="54"/>
        <v>17.600000000000001</v>
      </c>
      <c r="BS44">
        <v>1600</v>
      </c>
      <c r="BT44" s="13"/>
      <c r="BV44" s="25">
        <f t="shared" si="15"/>
        <v>835.26227940898934</v>
      </c>
      <c r="BW44">
        <v>1600</v>
      </c>
      <c r="BX44" s="13"/>
      <c r="BZ44" s="10">
        <f t="shared" si="16"/>
        <v>15.9</v>
      </c>
      <c r="CA44" s="13">
        <f t="shared" si="17"/>
        <v>796</v>
      </c>
      <c r="CB44" s="9">
        <f t="shared" si="18"/>
        <v>1.8</v>
      </c>
      <c r="CC44" s="13">
        <f t="shared" si="47"/>
        <v>796</v>
      </c>
      <c r="CD44">
        <f t="shared" si="48"/>
        <v>2086</v>
      </c>
      <c r="CE44" s="13">
        <f t="shared" si="49"/>
        <v>796</v>
      </c>
      <c r="CF44" s="13"/>
      <c r="CV44" s="9">
        <f t="shared" si="55"/>
        <v>0.95933533121665171</v>
      </c>
      <c r="CW44" s="9">
        <f t="shared" si="50"/>
        <v>4114.5823323260047</v>
      </c>
      <c r="CX44" s="9"/>
      <c r="CY44" s="9">
        <f t="shared" si="51"/>
        <v>0.95933533121665171</v>
      </c>
      <c r="CZ44" s="9">
        <f t="shared" si="52"/>
        <v>4114.5823323260047</v>
      </c>
    </row>
    <row r="45" spans="1:104" x14ac:dyDescent="0.25">
      <c r="A45" s="8"/>
      <c r="B45" s="21" t="str">
        <f>'Eingabe Diagramme'!B38</f>
        <v xml:space="preserve">  700.0   3165    9.4   -8.6     27   2.87    155     14  312.9  322.3  313.4</v>
      </c>
      <c r="C45" s="19"/>
      <c r="D45" s="19"/>
      <c r="E45" s="19"/>
      <c r="F45" s="19"/>
      <c r="G45" s="19"/>
      <c r="H45" s="19"/>
      <c r="I45" s="20"/>
      <c r="J45" s="19"/>
      <c r="K45" s="19"/>
      <c r="L45" s="11" t="str">
        <f t="shared" si="53"/>
        <v xml:space="preserve">  700.0</v>
      </c>
      <c r="M45" s="11" t="str">
        <f t="shared" si="1"/>
        <v xml:space="preserve"> 3165</v>
      </c>
      <c r="N45" s="11" t="str">
        <f t="shared" si="2"/>
        <v xml:space="preserve">  9.4</v>
      </c>
      <c r="O45" s="11" t="str">
        <f t="shared" si="3"/>
        <v xml:space="preserve"> -8.6</v>
      </c>
      <c r="P45" s="11" t="str">
        <f t="shared" si="4"/>
        <v xml:space="preserve"> 27</v>
      </c>
      <c r="Q45" s="11" t="str">
        <f t="shared" si="5"/>
        <v xml:space="preserve"> 2.87</v>
      </c>
      <c r="R45" s="11" t="str">
        <f t="shared" si="6"/>
        <v>155</v>
      </c>
      <c r="S45" s="11" t="str">
        <f t="shared" si="19"/>
        <v xml:space="preserve"> 14</v>
      </c>
      <c r="T45" s="11" t="str">
        <f t="shared" si="20"/>
        <v>312.9</v>
      </c>
      <c r="U45" s="11" t="str">
        <f t="shared" si="21"/>
        <v>322.3</v>
      </c>
      <c r="V45" s="11" t="str">
        <f t="shared" si="22"/>
        <v>313.4</v>
      </c>
      <c r="W45" s="11"/>
      <c r="Y45" s="13">
        <f t="shared" si="7"/>
        <v>700</v>
      </c>
      <c r="Z45" s="13">
        <f t="shared" si="8"/>
        <v>3165</v>
      </c>
      <c r="AA45" s="10">
        <f t="shared" si="9"/>
        <v>9.4</v>
      </c>
      <c r="AB45" s="10">
        <f t="shared" si="10"/>
        <v>-8.6</v>
      </c>
      <c r="AC45" s="13">
        <f t="shared" si="11"/>
        <v>27</v>
      </c>
      <c r="AD45" s="9">
        <f t="shared" si="12"/>
        <v>2.87</v>
      </c>
      <c r="AE45" s="13">
        <f t="shared" si="13"/>
        <v>155</v>
      </c>
      <c r="AF45" s="13">
        <f t="shared" si="14"/>
        <v>14</v>
      </c>
      <c r="AG45" s="27">
        <f t="shared" si="23"/>
        <v>25.928000000000001</v>
      </c>
      <c r="AH45" s="29">
        <f t="shared" si="24"/>
        <v>312.89999999999998</v>
      </c>
      <c r="AI45" s="29">
        <f t="shared" si="25"/>
        <v>322.3</v>
      </c>
      <c r="AJ45" s="29">
        <f t="shared" si="26"/>
        <v>313.39999999999998</v>
      </c>
      <c r="AK45" s="27">
        <f t="shared" si="27"/>
        <v>39.75</v>
      </c>
      <c r="AL45" s="27">
        <f t="shared" si="28"/>
        <v>49.150000000000034</v>
      </c>
      <c r="AM45" s="27">
        <f t="shared" si="29"/>
        <v>40.25</v>
      </c>
      <c r="AP45" s="10">
        <f t="shared" si="30"/>
        <v>-8.6</v>
      </c>
      <c r="AQ45" s="13">
        <f t="shared" si="31"/>
        <v>3165</v>
      </c>
      <c r="AR45" s="10">
        <f t="shared" si="32"/>
        <v>9.4</v>
      </c>
      <c r="AS45" s="13">
        <f t="shared" si="33"/>
        <v>3165</v>
      </c>
      <c r="AV45" s="13">
        <f t="shared" si="34"/>
        <v>700</v>
      </c>
      <c r="AW45" s="13">
        <f t="shared" si="35"/>
        <v>3165</v>
      </c>
      <c r="AY45" s="13">
        <f t="shared" si="36"/>
        <v>27</v>
      </c>
      <c r="AZ45" s="13">
        <f t="shared" si="37"/>
        <v>3165</v>
      </c>
      <c r="BA45" s="13"/>
      <c r="BB45" s="13"/>
      <c r="BC45" s="10">
        <f t="shared" si="38"/>
        <v>18</v>
      </c>
      <c r="BD45" s="10">
        <f t="shared" si="39"/>
        <v>18</v>
      </c>
      <c r="BE45" s="13">
        <f t="shared" si="40"/>
        <v>3165</v>
      </c>
      <c r="BG45" s="9">
        <f t="shared" si="41"/>
        <v>2.87</v>
      </c>
      <c r="BH45" s="13">
        <f t="shared" si="42"/>
        <v>3165</v>
      </c>
      <c r="BJ45" s="13">
        <f t="shared" si="43"/>
        <v>155</v>
      </c>
      <c r="BK45" s="13">
        <f t="shared" si="44"/>
        <v>3165</v>
      </c>
      <c r="BL45" s="13"/>
      <c r="BM45" s="13">
        <f t="shared" si="45"/>
        <v>25.928000000000001</v>
      </c>
      <c r="BN45" s="13">
        <f t="shared" si="46"/>
        <v>3165</v>
      </c>
      <c r="BO45" s="13"/>
      <c r="BP45" s="13"/>
      <c r="BQ45" s="10"/>
      <c r="BR45" s="10">
        <f t="shared" si="54"/>
        <v>16.950000000000003</v>
      </c>
      <c r="BS45">
        <v>1700</v>
      </c>
      <c r="BT45" s="13"/>
      <c r="BV45" s="25">
        <f t="shared" si="15"/>
        <v>825.04129555999839</v>
      </c>
      <c r="BW45">
        <v>1700</v>
      </c>
      <c r="BX45" s="13"/>
      <c r="BZ45" s="10">
        <f t="shared" si="16"/>
        <v>9.4</v>
      </c>
      <c r="CA45" s="13">
        <f t="shared" si="17"/>
        <v>700</v>
      </c>
      <c r="CB45" s="9">
        <f t="shared" si="18"/>
        <v>-8.6</v>
      </c>
      <c r="CC45" s="13">
        <f t="shared" si="47"/>
        <v>700</v>
      </c>
      <c r="CD45">
        <f t="shared" si="48"/>
        <v>3165</v>
      </c>
      <c r="CE45" s="13">
        <f t="shared" si="49"/>
        <v>700</v>
      </c>
      <c r="CF45" s="13"/>
      <c r="CV45" s="9">
        <f t="shared" si="55"/>
        <v>0.86304427037737452</v>
      </c>
      <c r="CW45" s="9">
        <f t="shared" si="50"/>
        <v>1280.4052179786124</v>
      </c>
      <c r="CX45" s="9"/>
      <c r="CY45" s="9">
        <f t="shared" si="51"/>
        <v>0.86304427037737452</v>
      </c>
      <c r="CZ45" s="9">
        <f t="shared" si="52"/>
        <v>1280.4052179786124</v>
      </c>
    </row>
    <row r="46" spans="1:104" x14ac:dyDescent="0.25">
      <c r="A46" s="8"/>
      <c r="B46" s="21" t="str">
        <f>'Eingabe Diagramme'!B39</f>
        <v xml:space="preserve">  657.0   3687    6.0   -9.0     33   2.96    153     10  314.8  324.6  315.3</v>
      </c>
      <c r="C46" s="19"/>
      <c r="D46" s="19"/>
      <c r="E46" s="19"/>
      <c r="F46" s="19"/>
      <c r="G46" s="19"/>
      <c r="H46" s="19"/>
      <c r="I46" s="20"/>
      <c r="J46" s="19"/>
      <c r="K46" s="19"/>
      <c r="L46" s="11" t="str">
        <f t="shared" si="53"/>
        <v xml:space="preserve">  657.0</v>
      </c>
      <c r="M46" s="11" t="str">
        <f t="shared" si="1"/>
        <v xml:space="preserve"> 3687</v>
      </c>
      <c r="N46" s="11" t="str">
        <f t="shared" si="2"/>
        <v xml:space="preserve">  6.0</v>
      </c>
      <c r="O46" s="11" t="str">
        <f t="shared" si="3"/>
        <v xml:space="preserve"> -9.0</v>
      </c>
      <c r="P46" s="11" t="str">
        <f t="shared" si="4"/>
        <v xml:space="preserve"> 33</v>
      </c>
      <c r="Q46" s="11" t="str">
        <f t="shared" si="5"/>
        <v xml:space="preserve"> 2.96</v>
      </c>
      <c r="R46" s="11" t="str">
        <f t="shared" si="6"/>
        <v>153</v>
      </c>
      <c r="S46" s="11" t="str">
        <f t="shared" si="19"/>
        <v xml:space="preserve"> 10</v>
      </c>
      <c r="T46" s="11" t="str">
        <f t="shared" si="20"/>
        <v>314.8</v>
      </c>
      <c r="U46" s="11" t="str">
        <f t="shared" si="21"/>
        <v>324.6</v>
      </c>
      <c r="V46" s="11" t="str">
        <f t="shared" si="22"/>
        <v>315.3</v>
      </c>
      <c r="W46" s="11"/>
      <c r="Y46" s="13">
        <f t="shared" si="7"/>
        <v>657</v>
      </c>
      <c r="Z46" s="13">
        <f t="shared" si="8"/>
        <v>3687</v>
      </c>
      <c r="AA46" s="10">
        <f t="shared" si="9"/>
        <v>6</v>
      </c>
      <c r="AB46" s="10">
        <f t="shared" si="10"/>
        <v>-9</v>
      </c>
      <c r="AC46" s="13">
        <f t="shared" si="11"/>
        <v>33</v>
      </c>
      <c r="AD46" s="9">
        <f t="shared" si="12"/>
        <v>2.96</v>
      </c>
      <c r="AE46" s="13">
        <f t="shared" si="13"/>
        <v>153</v>
      </c>
      <c r="AF46" s="13">
        <f t="shared" si="14"/>
        <v>10</v>
      </c>
      <c r="AG46" s="27">
        <f t="shared" si="23"/>
        <v>18.52</v>
      </c>
      <c r="AH46" s="29">
        <f t="shared" si="24"/>
        <v>314.8</v>
      </c>
      <c r="AI46" s="29">
        <f t="shared" si="25"/>
        <v>324.60000000000002</v>
      </c>
      <c r="AJ46" s="29">
        <f t="shared" si="26"/>
        <v>315.3</v>
      </c>
      <c r="AK46" s="27">
        <f t="shared" si="27"/>
        <v>41.650000000000034</v>
      </c>
      <c r="AL46" s="27">
        <f t="shared" si="28"/>
        <v>51.450000000000045</v>
      </c>
      <c r="AM46" s="27">
        <f t="shared" si="29"/>
        <v>42.150000000000034</v>
      </c>
      <c r="AP46" s="10">
        <f t="shared" si="30"/>
        <v>-9</v>
      </c>
      <c r="AQ46" s="13">
        <f t="shared" si="31"/>
        <v>3687</v>
      </c>
      <c r="AR46" s="10">
        <f t="shared" si="32"/>
        <v>6</v>
      </c>
      <c r="AS46" s="13">
        <f t="shared" si="33"/>
        <v>3687</v>
      </c>
      <c r="AV46" s="13">
        <f t="shared" si="34"/>
        <v>657</v>
      </c>
      <c r="AW46" s="13">
        <f t="shared" si="35"/>
        <v>3687</v>
      </c>
      <c r="AY46" s="13">
        <f t="shared" si="36"/>
        <v>33</v>
      </c>
      <c r="AZ46" s="13">
        <f t="shared" si="37"/>
        <v>3687</v>
      </c>
      <c r="BA46" s="13"/>
      <c r="BB46" s="13"/>
      <c r="BC46" s="10">
        <f t="shared" si="38"/>
        <v>15</v>
      </c>
      <c r="BD46" s="10">
        <f t="shared" si="39"/>
        <v>15</v>
      </c>
      <c r="BE46" s="13">
        <f t="shared" si="40"/>
        <v>3687</v>
      </c>
      <c r="BG46" s="9">
        <f t="shared" si="41"/>
        <v>2.96</v>
      </c>
      <c r="BH46" s="13">
        <f t="shared" si="42"/>
        <v>3687</v>
      </c>
      <c r="BJ46" s="13">
        <f t="shared" si="43"/>
        <v>153</v>
      </c>
      <c r="BK46" s="13">
        <f t="shared" si="44"/>
        <v>3687</v>
      </c>
      <c r="BL46" s="13"/>
      <c r="BM46" s="13">
        <f t="shared" si="45"/>
        <v>18.52</v>
      </c>
      <c r="BN46" s="13">
        <f t="shared" si="46"/>
        <v>3687</v>
      </c>
      <c r="BO46" s="13"/>
      <c r="BP46" s="13"/>
      <c r="BQ46" s="10"/>
      <c r="BR46" s="10">
        <f t="shared" si="54"/>
        <v>16.3</v>
      </c>
      <c r="BS46">
        <v>1800</v>
      </c>
      <c r="BT46" s="13"/>
      <c r="BV46" s="25">
        <f t="shared" si="15"/>
        <v>814.92182037104135</v>
      </c>
      <c r="BW46">
        <v>1800</v>
      </c>
      <c r="BX46" s="13"/>
      <c r="BZ46" s="10">
        <f t="shared" si="16"/>
        <v>6</v>
      </c>
      <c r="CA46" s="13">
        <f t="shared" si="17"/>
        <v>657</v>
      </c>
      <c r="CB46" s="9">
        <f t="shared" si="18"/>
        <v>-9</v>
      </c>
      <c r="CC46" s="13">
        <f t="shared" si="47"/>
        <v>657</v>
      </c>
      <c r="CD46">
        <f t="shared" si="48"/>
        <v>3687</v>
      </c>
      <c r="CE46" s="13">
        <f t="shared" si="49"/>
        <v>657</v>
      </c>
      <c r="CF46" s="13"/>
      <c r="CV46" s="9">
        <f t="shared" si="55"/>
        <v>0.81989470687545629</v>
      </c>
      <c r="CW46" s="9">
        <f t="shared" si="50"/>
        <v>1104.408515236506</v>
      </c>
      <c r="CX46" s="9"/>
      <c r="CY46" s="9">
        <f t="shared" si="51"/>
        <v>0.81989470687545629</v>
      </c>
      <c r="CZ46" s="9">
        <f t="shared" si="52"/>
        <v>1104.408515236506</v>
      </c>
    </row>
    <row r="47" spans="1:104" x14ac:dyDescent="0.25">
      <c r="A47" s="8"/>
      <c r="B47" s="21" t="str">
        <f>'Eingabe Diagramme'!B40</f>
        <v xml:space="preserve">  605.0   4354    2.5  -20.7     16   1.22    150      4  318.2  322.5  318.4</v>
      </c>
      <c r="C47" s="19"/>
      <c r="D47" s="19"/>
      <c r="E47" s="19"/>
      <c r="F47" s="19"/>
      <c r="G47" s="19"/>
      <c r="H47" s="19"/>
      <c r="I47" s="20"/>
      <c r="J47" s="19"/>
      <c r="K47" s="19"/>
      <c r="L47" s="11" t="str">
        <f t="shared" si="53"/>
        <v xml:space="preserve">  605.0</v>
      </c>
      <c r="M47" s="11" t="str">
        <f t="shared" si="1"/>
        <v xml:space="preserve"> 4354</v>
      </c>
      <c r="N47" s="11" t="str">
        <f t="shared" si="2"/>
        <v xml:space="preserve">  2.5</v>
      </c>
      <c r="O47" s="11" t="str">
        <f t="shared" si="3"/>
        <v>-20.7</v>
      </c>
      <c r="P47" s="11" t="str">
        <f t="shared" si="4"/>
        <v xml:space="preserve"> 16</v>
      </c>
      <c r="Q47" s="11" t="str">
        <f t="shared" si="5"/>
        <v xml:space="preserve"> 1.22</v>
      </c>
      <c r="R47" s="11" t="str">
        <f t="shared" si="6"/>
        <v>150</v>
      </c>
      <c r="S47" s="11" t="str">
        <f t="shared" si="19"/>
        <v xml:space="preserve">  4</v>
      </c>
      <c r="T47" s="11" t="str">
        <f t="shared" si="20"/>
        <v>318.2</v>
      </c>
      <c r="U47" s="11" t="str">
        <f t="shared" si="21"/>
        <v>322.5</v>
      </c>
      <c r="V47" s="11" t="str">
        <f t="shared" si="22"/>
        <v>318.4</v>
      </c>
      <c r="W47" s="11"/>
      <c r="Y47" s="13">
        <f t="shared" si="7"/>
        <v>605</v>
      </c>
      <c r="Z47" s="13">
        <f t="shared" si="8"/>
        <v>4354</v>
      </c>
      <c r="AA47" s="10">
        <f t="shared" si="9"/>
        <v>2.5</v>
      </c>
      <c r="AB47" s="10">
        <f t="shared" si="10"/>
        <v>-20.7</v>
      </c>
      <c r="AC47" s="13">
        <f t="shared" si="11"/>
        <v>16</v>
      </c>
      <c r="AD47" s="9">
        <f t="shared" si="12"/>
        <v>1.22</v>
      </c>
      <c r="AE47" s="13">
        <f t="shared" si="13"/>
        <v>150</v>
      </c>
      <c r="AF47" s="13">
        <f t="shared" si="14"/>
        <v>4</v>
      </c>
      <c r="AG47" s="27">
        <f t="shared" si="23"/>
        <v>7.4080000000000004</v>
      </c>
      <c r="AH47" s="29">
        <f t="shared" si="24"/>
        <v>318.2</v>
      </c>
      <c r="AI47" s="29">
        <f t="shared" si="25"/>
        <v>322.5</v>
      </c>
      <c r="AJ47" s="29">
        <f t="shared" si="26"/>
        <v>318.39999999999998</v>
      </c>
      <c r="AK47" s="27">
        <f t="shared" si="27"/>
        <v>45.050000000000011</v>
      </c>
      <c r="AL47" s="27">
        <f t="shared" si="28"/>
        <v>49.350000000000023</v>
      </c>
      <c r="AM47" s="27">
        <f t="shared" si="29"/>
        <v>45.25</v>
      </c>
      <c r="AP47" s="10">
        <f t="shared" si="30"/>
        <v>-20.7</v>
      </c>
      <c r="AQ47" s="13">
        <f t="shared" si="31"/>
        <v>4354</v>
      </c>
      <c r="AR47" s="10">
        <f t="shared" si="32"/>
        <v>2.5</v>
      </c>
      <c r="AS47" s="13">
        <f t="shared" si="33"/>
        <v>4354</v>
      </c>
      <c r="AV47" s="13">
        <f t="shared" si="34"/>
        <v>605</v>
      </c>
      <c r="AW47" s="13">
        <f t="shared" si="35"/>
        <v>4354</v>
      </c>
      <c r="AY47" s="13">
        <f t="shared" si="36"/>
        <v>16</v>
      </c>
      <c r="AZ47" s="13">
        <f t="shared" si="37"/>
        <v>4354</v>
      </c>
      <c r="BA47" s="13"/>
      <c r="BB47" s="13"/>
      <c r="BC47" s="10">
        <f t="shared" si="38"/>
        <v>23.2</v>
      </c>
      <c r="BD47" s="10">
        <f t="shared" si="39"/>
        <v>23.2</v>
      </c>
      <c r="BE47" s="13">
        <f t="shared" si="40"/>
        <v>4354</v>
      </c>
      <c r="BG47" s="9">
        <f t="shared" si="41"/>
        <v>1.22</v>
      </c>
      <c r="BH47" s="13">
        <f t="shared" si="42"/>
        <v>4354</v>
      </c>
      <c r="BJ47" s="13">
        <f t="shared" si="43"/>
        <v>150</v>
      </c>
      <c r="BK47" s="13">
        <f t="shared" si="44"/>
        <v>4354</v>
      </c>
      <c r="BL47" s="13"/>
      <c r="BM47" s="13">
        <f t="shared" si="45"/>
        <v>7.4080000000000004</v>
      </c>
      <c r="BN47" s="13">
        <f t="shared" si="46"/>
        <v>4354</v>
      </c>
      <c r="BO47" s="13"/>
      <c r="BP47" s="13"/>
      <c r="BQ47" s="10"/>
      <c r="BR47" s="10">
        <f t="shared" si="54"/>
        <v>15.65</v>
      </c>
      <c r="BS47">
        <v>1900</v>
      </c>
      <c r="BT47" s="13"/>
      <c r="BV47" s="25">
        <f t="shared" si="15"/>
        <v>804.90308083942534</v>
      </c>
      <c r="BW47">
        <v>1900</v>
      </c>
      <c r="BX47" s="13"/>
      <c r="BZ47" s="10">
        <f t="shared" si="16"/>
        <v>2.5</v>
      </c>
      <c r="CA47" s="13">
        <f t="shared" si="17"/>
        <v>605</v>
      </c>
      <c r="CB47" s="9">
        <f t="shared" si="18"/>
        <v>-20.7</v>
      </c>
      <c r="CC47" s="13">
        <f t="shared" si="47"/>
        <v>605</v>
      </c>
      <c r="CD47">
        <f t="shared" si="48"/>
        <v>4354</v>
      </c>
      <c r="CE47" s="13">
        <f t="shared" si="49"/>
        <v>605</v>
      </c>
      <c r="CF47" s="13"/>
      <c r="CV47" s="9">
        <f t="shared" si="55"/>
        <v>0.76458843227722495</v>
      </c>
      <c r="CW47" s="9">
        <f t="shared" si="50"/>
        <v>236.2338420766404</v>
      </c>
      <c r="CX47" s="9"/>
      <c r="CY47" s="9">
        <f t="shared" si="51"/>
        <v>0.76458843227722495</v>
      </c>
      <c r="CZ47" s="9">
        <f t="shared" si="52"/>
        <v>236.2338420766404</v>
      </c>
    </row>
    <row r="48" spans="1:104" x14ac:dyDescent="0.25">
      <c r="A48" s="8"/>
      <c r="B48" s="21" t="str">
        <f>'Eingabe Diagramme'!B41</f>
        <v xml:space="preserve">  582.0   4668    0.8  -26.2     11   0.78    138      8  319.8  322.6  319.9</v>
      </c>
      <c r="C48" s="19"/>
      <c r="D48" s="19"/>
      <c r="E48" s="19"/>
      <c r="F48" s="19"/>
      <c r="G48" s="19"/>
      <c r="H48" s="19"/>
      <c r="I48" s="20"/>
      <c r="J48" s="19"/>
      <c r="K48" s="19"/>
      <c r="L48" s="11" t="str">
        <f t="shared" si="53"/>
        <v xml:space="preserve">  582.0</v>
      </c>
      <c r="M48" s="11" t="str">
        <f t="shared" si="1"/>
        <v xml:space="preserve"> 4668</v>
      </c>
      <c r="N48" s="11" t="str">
        <f t="shared" si="2"/>
        <v xml:space="preserve">  0.8</v>
      </c>
      <c r="O48" s="11" t="str">
        <f t="shared" si="3"/>
        <v>-26.2</v>
      </c>
      <c r="P48" s="11" t="str">
        <f t="shared" si="4"/>
        <v xml:space="preserve"> 11</v>
      </c>
      <c r="Q48" s="11" t="str">
        <f t="shared" si="5"/>
        <v xml:space="preserve"> 0.78</v>
      </c>
      <c r="R48" s="11" t="str">
        <f t="shared" si="6"/>
        <v>138</v>
      </c>
      <c r="S48" s="11" t="str">
        <f t="shared" si="19"/>
        <v xml:space="preserve">  8</v>
      </c>
      <c r="T48" s="11" t="str">
        <f t="shared" si="20"/>
        <v>319.8</v>
      </c>
      <c r="U48" s="11" t="str">
        <f t="shared" si="21"/>
        <v>322.6</v>
      </c>
      <c r="V48" s="11" t="str">
        <f t="shared" si="22"/>
        <v>319.9</v>
      </c>
      <c r="W48" s="11"/>
      <c r="Y48" s="13">
        <f t="shared" si="7"/>
        <v>582</v>
      </c>
      <c r="Z48" s="13">
        <f t="shared" si="8"/>
        <v>4668</v>
      </c>
      <c r="AA48" s="10">
        <f t="shared" si="9"/>
        <v>0.8</v>
      </c>
      <c r="AB48" s="10">
        <f t="shared" si="10"/>
        <v>-26.2</v>
      </c>
      <c r="AC48" s="13">
        <f t="shared" si="11"/>
        <v>11</v>
      </c>
      <c r="AD48" s="9">
        <f t="shared" si="12"/>
        <v>0.78</v>
      </c>
      <c r="AE48" s="13">
        <f t="shared" si="13"/>
        <v>138</v>
      </c>
      <c r="AF48" s="13">
        <f t="shared" si="14"/>
        <v>8</v>
      </c>
      <c r="AG48" s="27">
        <f t="shared" si="23"/>
        <v>14.816000000000001</v>
      </c>
      <c r="AH48" s="29">
        <f t="shared" si="24"/>
        <v>319.8</v>
      </c>
      <c r="AI48" s="29">
        <f t="shared" si="25"/>
        <v>322.60000000000002</v>
      </c>
      <c r="AJ48" s="29">
        <f t="shared" si="26"/>
        <v>319.89999999999998</v>
      </c>
      <c r="AK48" s="27">
        <f t="shared" si="27"/>
        <v>46.650000000000034</v>
      </c>
      <c r="AL48" s="27">
        <f t="shared" si="28"/>
        <v>49.450000000000045</v>
      </c>
      <c r="AM48" s="27">
        <f t="shared" si="29"/>
        <v>46.75</v>
      </c>
      <c r="AP48" s="10">
        <f t="shared" si="30"/>
        <v>-26.2</v>
      </c>
      <c r="AQ48" s="13">
        <f t="shared" si="31"/>
        <v>4668</v>
      </c>
      <c r="AR48" s="10">
        <f t="shared" si="32"/>
        <v>0.8</v>
      </c>
      <c r="AS48" s="13">
        <f t="shared" si="33"/>
        <v>4668</v>
      </c>
      <c r="AV48" s="13">
        <f t="shared" si="34"/>
        <v>582</v>
      </c>
      <c r="AW48" s="13">
        <f t="shared" si="35"/>
        <v>4668</v>
      </c>
      <c r="AY48" s="13">
        <f t="shared" si="36"/>
        <v>11</v>
      </c>
      <c r="AZ48" s="13">
        <f t="shared" si="37"/>
        <v>4668</v>
      </c>
      <c r="BA48" s="13"/>
      <c r="BB48" s="13"/>
      <c r="BC48" s="10">
        <f t="shared" si="38"/>
        <v>27</v>
      </c>
      <c r="BD48" s="10">
        <f t="shared" si="39"/>
        <v>27</v>
      </c>
      <c r="BE48" s="13">
        <f t="shared" si="40"/>
        <v>4668</v>
      </c>
      <c r="BG48" s="9">
        <f t="shared" si="41"/>
        <v>0.78</v>
      </c>
      <c r="BH48" s="13">
        <f t="shared" si="42"/>
        <v>4668</v>
      </c>
      <c r="BJ48" s="13">
        <f t="shared" si="43"/>
        <v>138</v>
      </c>
      <c r="BK48" s="13">
        <f t="shared" si="44"/>
        <v>4668</v>
      </c>
      <c r="BL48" s="13"/>
      <c r="BM48" s="13">
        <f t="shared" si="45"/>
        <v>14.816000000000001</v>
      </c>
      <c r="BN48" s="13">
        <f t="shared" si="46"/>
        <v>4668</v>
      </c>
      <c r="BO48" s="13"/>
      <c r="BP48" s="13"/>
      <c r="BQ48" s="10"/>
      <c r="BR48" s="10">
        <f t="shared" si="54"/>
        <v>15</v>
      </c>
      <c r="BS48">
        <v>2000</v>
      </c>
      <c r="BT48" s="13"/>
      <c r="BV48" s="25">
        <f t="shared" si="15"/>
        <v>794.98430805010037</v>
      </c>
      <c r="BW48">
        <v>2000</v>
      </c>
      <c r="BX48" s="13"/>
      <c r="BZ48" s="10">
        <f t="shared" si="16"/>
        <v>0.8</v>
      </c>
      <c r="CA48" s="13">
        <f t="shared" si="17"/>
        <v>582</v>
      </c>
      <c r="CB48" s="9">
        <f t="shared" si="18"/>
        <v>-26.2</v>
      </c>
      <c r="CC48" s="13">
        <f t="shared" si="47"/>
        <v>582</v>
      </c>
      <c r="CD48">
        <f t="shared" si="48"/>
        <v>4668</v>
      </c>
      <c r="CE48" s="13">
        <f t="shared" si="49"/>
        <v>582</v>
      </c>
      <c r="CF48" s="13"/>
      <c r="CV48" s="9">
        <f t="shared" si="55"/>
        <v>0.74008572107717252</v>
      </c>
      <c r="CW48" s="9">
        <f t="shared" si="50"/>
        <v>132.05425160759435</v>
      </c>
      <c r="CX48" s="9"/>
      <c r="CY48" s="9">
        <f t="shared" si="51"/>
        <v>0.74008572107717252</v>
      </c>
      <c r="CZ48" s="9">
        <f t="shared" si="52"/>
        <v>132.05425160759435</v>
      </c>
    </row>
    <row r="49" spans="1:104" x14ac:dyDescent="0.25">
      <c r="A49" s="8"/>
      <c r="B49" s="21" t="str">
        <f>'Eingabe Diagramme'!B42</f>
        <v xml:space="preserve">  568.0   4863    0.1  -22.9     16   1.07    130     10  321.1  325.0  321.3</v>
      </c>
      <c r="C49" s="19"/>
      <c r="D49" s="19"/>
      <c r="E49" s="19"/>
      <c r="F49" s="19"/>
      <c r="G49" s="19"/>
      <c r="H49" s="19"/>
      <c r="I49" s="20"/>
      <c r="J49" s="19"/>
      <c r="K49" s="19"/>
      <c r="L49" s="11" t="str">
        <f t="shared" si="53"/>
        <v xml:space="preserve">  568.0</v>
      </c>
      <c r="M49" s="11" t="str">
        <f t="shared" si="1"/>
        <v xml:space="preserve"> 4863</v>
      </c>
      <c r="N49" s="11" t="str">
        <f t="shared" si="2"/>
        <v xml:space="preserve">  0.1</v>
      </c>
      <c r="O49" s="11" t="str">
        <f t="shared" si="3"/>
        <v>-22.9</v>
      </c>
      <c r="P49" s="11" t="str">
        <f t="shared" si="4"/>
        <v xml:space="preserve"> 16</v>
      </c>
      <c r="Q49" s="11" t="str">
        <f t="shared" si="5"/>
        <v xml:space="preserve"> 1.07</v>
      </c>
      <c r="R49" s="11" t="str">
        <f t="shared" si="6"/>
        <v>130</v>
      </c>
      <c r="S49" s="11" t="str">
        <f t="shared" si="19"/>
        <v xml:space="preserve"> 10</v>
      </c>
      <c r="T49" s="11" t="str">
        <f t="shared" si="20"/>
        <v>321.1</v>
      </c>
      <c r="U49" s="11" t="str">
        <f t="shared" si="21"/>
        <v>325.0</v>
      </c>
      <c r="V49" s="11" t="str">
        <f t="shared" si="22"/>
        <v>321.3</v>
      </c>
      <c r="W49" s="11"/>
      <c r="Y49" s="13">
        <f t="shared" si="7"/>
        <v>568</v>
      </c>
      <c r="Z49" s="13">
        <f t="shared" si="8"/>
        <v>4863</v>
      </c>
      <c r="AA49" s="10">
        <f t="shared" si="9"/>
        <v>0.1</v>
      </c>
      <c r="AB49" s="10">
        <f t="shared" si="10"/>
        <v>-22.9</v>
      </c>
      <c r="AC49" s="13">
        <f t="shared" si="11"/>
        <v>16</v>
      </c>
      <c r="AD49" s="9">
        <f t="shared" si="12"/>
        <v>1.07</v>
      </c>
      <c r="AE49" s="13">
        <f t="shared" si="13"/>
        <v>130</v>
      </c>
      <c r="AF49" s="13">
        <f t="shared" si="14"/>
        <v>10</v>
      </c>
      <c r="AG49" s="27">
        <f t="shared" si="23"/>
        <v>18.52</v>
      </c>
      <c r="AH49" s="29">
        <f t="shared" si="24"/>
        <v>321.10000000000002</v>
      </c>
      <c r="AI49" s="29">
        <f t="shared" si="25"/>
        <v>325</v>
      </c>
      <c r="AJ49" s="29">
        <f t="shared" si="26"/>
        <v>321.3</v>
      </c>
      <c r="AK49" s="27">
        <f t="shared" si="27"/>
        <v>47.950000000000045</v>
      </c>
      <c r="AL49" s="27">
        <f t="shared" si="28"/>
        <v>51.850000000000023</v>
      </c>
      <c r="AM49" s="27">
        <f t="shared" si="29"/>
        <v>48.150000000000034</v>
      </c>
      <c r="AP49" s="10">
        <f t="shared" si="30"/>
        <v>-22.9</v>
      </c>
      <c r="AQ49" s="13">
        <f t="shared" si="31"/>
        <v>4863</v>
      </c>
      <c r="AR49" s="10">
        <f t="shared" si="32"/>
        <v>0.1</v>
      </c>
      <c r="AS49" s="13">
        <f t="shared" si="33"/>
        <v>4863</v>
      </c>
      <c r="AV49" s="13">
        <f t="shared" si="34"/>
        <v>568</v>
      </c>
      <c r="AW49" s="13">
        <f t="shared" si="35"/>
        <v>4863</v>
      </c>
      <c r="AY49" s="13">
        <f t="shared" si="36"/>
        <v>16</v>
      </c>
      <c r="AZ49" s="13">
        <f t="shared" si="37"/>
        <v>4863</v>
      </c>
      <c r="BA49" s="13"/>
      <c r="BB49" s="13"/>
      <c r="BC49" s="10">
        <f t="shared" si="38"/>
        <v>23</v>
      </c>
      <c r="BD49" s="10">
        <f t="shared" si="39"/>
        <v>23</v>
      </c>
      <c r="BE49" s="13">
        <f t="shared" si="40"/>
        <v>4863</v>
      </c>
      <c r="BG49" s="9">
        <f t="shared" si="41"/>
        <v>1.07</v>
      </c>
      <c r="BH49" s="13">
        <f t="shared" si="42"/>
        <v>4863</v>
      </c>
      <c r="BJ49" s="13">
        <f t="shared" si="43"/>
        <v>130</v>
      </c>
      <c r="BK49" s="13">
        <f t="shared" si="44"/>
        <v>4863</v>
      </c>
      <c r="BL49" s="13"/>
      <c r="BM49" s="13">
        <f t="shared" si="45"/>
        <v>18.52</v>
      </c>
      <c r="BN49" s="13">
        <f t="shared" si="46"/>
        <v>4863</v>
      </c>
      <c r="BO49" s="13"/>
      <c r="BP49" s="13"/>
      <c r="BQ49" s="10"/>
      <c r="BR49" s="10">
        <f t="shared" si="54"/>
        <v>14.350000000000001</v>
      </c>
      <c r="BS49">
        <v>2100</v>
      </c>
      <c r="BT49" s="13"/>
      <c r="BV49" s="25">
        <f t="shared" si="15"/>
        <v>785.16473716360224</v>
      </c>
      <c r="BW49">
        <v>2100</v>
      </c>
      <c r="BX49" s="13"/>
      <c r="BZ49" s="10">
        <f t="shared" si="16"/>
        <v>0.1</v>
      </c>
      <c r="CA49" s="13">
        <f t="shared" si="17"/>
        <v>568</v>
      </c>
      <c r="CB49" s="9">
        <f t="shared" si="18"/>
        <v>-22.9</v>
      </c>
      <c r="CC49" s="13">
        <f t="shared" si="47"/>
        <v>568</v>
      </c>
      <c r="CD49">
        <f t="shared" si="48"/>
        <v>4863</v>
      </c>
      <c r="CE49" s="13">
        <f t="shared" si="49"/>
        <v>568</v>
      </c>
      <c r="CF49" s="13"/>
      <c r="CV49" s="9">
        <f t="shared" si="55"/>
        <v>0.72413328496683949</v>
      </c>
      <c r="CW49" s="9">
        <f t="shared" si="50"/>
        <v>95.963216582908586</v>
      </c>
      <c r="CX49" s="9"/>
      <c r="CY49" s="9">
        <f t="shared" si="51"/>
        <v>0.72413328496683949</v>
      </c>
      <c r="CZ49" s="9">
        <f t="shared" si="52"/>
        <v>95.963216582908586</v>
      </c>
    </row>
    <row r="50" spans="1:104" x14ac:dyDescent="0.25">
      <c r="A50" s="8"/>
      <c r="B50" s="21" t="str">
        <f>'Eingabe Diagramme'!B43</f>
        <v xml:space="preserve">  560.0   4976   -0.4  -21.0     19   1.29    100     13  321.9  326.5  322.2</v>
      </c>
      <c r="C50" s="19"/>
      <c r="D50" s="19"/>
      <c r="E50" s="19"/>
      <c r="F50" s="19"/>
      <c r="G50" s="19"/>
      <c r="H50" s="19"/>
      <c r="I50" s="20"/>
      <c r="J50" s="19"/>
      <c r="K50" s="19"/>
      <c r="L50" s="11" t="str">
        <f t="shared" si="53"/>
        <v xml:space="preserve">  560.0</v>
      </c>
      <c r="M50" s="11" t="str">
        <f t="shared" si="1"/>
        <v xml:space="preserve"> 4976</v>
      </c>
      <c r="N50" s="11" t="str">
        <f>MID(B50,17,5)</f>
        <v xml:space="preserve"> -0.4</v>
      </c>
      <c r="O50" s="11" t="str">
        <f t="shared" si="3"/>
        <v>-21.0</v>
      </c>
      <c r="P50" s="11" t="str">
        <f t="shared" si="4"/>
        <v xml:space="preserve"> 19</v>
      </c>
      <c r="Q50" s="11" t="str">
        <f t="shared" si="5"/>
        <v xml:space="preserve"> 1.29</v>
      </c>
      <c r="R50" s="11" t="str">
        <f t="shared" si="6"/>
        <v>100</v>
      </c>
      <c r="S50" s="11" t="str">
        <f t="shared" si="19"/>
        <v xml:space="preserve"> 13</v>
      </c>
      <c r="T50" s="11" t="str">
        <f t="shared" si="20"/>
        <v>321.9</v>
      </c>
      <c r="U50" s="11" t="str">
        <f t="shared" si="21"/>
        <v>326.5</v>
      </c>
      <c r="V50" s="11" t="str">
        <f t="shared" si="22"/>
        <v>322.2</v>
      </c>
      <c r="W50" s="11"/>
      <c r="Y50" s="13">
        <f t="shared" si="7"/>
        <v>560</v>
      </c>
      <c r="Z50" s="13">
        <f t="shared" si="8"/>
        <v>4976</v>
      </c>
      <c r="AA50" s="10">
        <f t="shared" si="9"/>
        <v>-0.4</v>
      </c>
      <c r="AB50" s="10">
        <f t="shared" si="10"/>
        <v>-21</v>
      </c>
      <c r="AC50" s="13">
        <f t="shared" si="11"/>
        <v>19</v>
      </c>
      <c r="AD50" s="9">
        <f t="shared" si="12"/>
        <v>1.29</v>
      </c>
      <c r="AE50" s="13">
        <f t="shared" si="13"/>
        <v>100</v>
      </c>
      <c r="AF50" s="13">
        <f t="shared" si="14"/>
        <v>13</v>
      </c>
      <c r="AG50" s="27">
        <f t="shared" si="23"/>
        <v>24.076000000000001</v>
      </c>
      <c r="AH50" s="29">
        <f t="shared" si="24"/>
        <v>321.89999999999998</v>
      </c>
      <c r="AI50" s="29">
        <f t="shared" si="25"/>
        <v>326.5</v>
      </c>
      <c r="AJ50" s="29">
        <f t="shared" si="26"/>
        <v>322.2</v>
      </c>
      <c r="AK50" s="27">
        <f t="shared" si="27"/>
        <v>48.75</v>
      </c>
      <c r="AL50" s="27">
        <f t="shared" si="28"/>
        <v>53.350000000000023</v>
      </c>
      <c r="AM50" s="27">
        <f t="shared" si="29"/>
        <v>49.050000000000011</v>
      </c>
      <c r="AP50" s="10">
        <f t="shared" si="30"/>
        <v>-21</v>
      </c>
      <c r="AQ50" s="13">
        <f t="shared" si="31"/>
        <v>4976</v>
      </c>
      <c r="AR50" s="10">
        <f t="shared" si="32"/>
        <v>-0.4</v>
      </c>
      <c r="AS50" s="13">
        <f t="shared" si="33"/>
        <v>4976</v>
      </c>
      <c r="AV50" s="13">
        <f t="shared" si="34"/>
        <v>560</v>
      </c>
      <c r="AW50" s="13">
        <f t="shared" si="35"/>
        <v>4976</v>
      </c>
      <c r="AY50" s="13">
        <f t="shared" si="36"/>
        <v>19</v>
      </c>
      <c r="AZ50" s="13">
        <f t="shared" si="37"/>
        <v>4976</v>
      </c>
      <c r="BA50" s="13"/>
      <c r="BB50" s="13"/>
      <c r="BC50" s="10">
        <f t="shared" si="38"/>
        <v>20.6</v>
      </c>
      <c r="BD50" s="10">
        <f t="shared" si="39"/>
        <v>20.6</v>
      </c>
      <c r="BE50" s="13">
        <f t="shared" si="40"/>
        <v>4976</v>
      </c>
      <c r="BG50" s="9">
        <f t="shared" si="41"/>
        <v>1.29</v>
      </c>
      <c r="BH50" s="13">
        <f t="shared" si="42"/>
        <v>4976</v>
      </c>
      <c r="BJ50" s="13">
        <f t="shared" si="43"/>
        <v>100</v>
      </c>
      <c r="BK50" s="13">
        <f t="shared" si="44"/>
        <v>4976</v>
      </c>
      <c r="BL50" s="13"/>
      <c r="BM50" s="13">
        <f t="shared" si="45"/>
        <v>24.076000000000001</v>
      </c>
      <c r="BN50" s="13">
        <f t="shared" si="46"/>
        <v>4976</v>
      </c>
      <c r="BO50" s="13"/>
      <c r="BP50" s="13"/>
      <c r="BQ50" s="10"/>
      <c r="BR50" s="10">
        <f t="shared" si="54"/>
        <v>13.700000000000001</v>
      </c>
      <c r="BS50">
        <v>2200</v>
      </c>
      <c r="BT50" s="13"/>
      <c r="BV50" s="25">
        <f t="shared" si="15"/>
        <v>775.44360740399907</v>
      </c>
      <c r="BW50">
        <v>2200</v>
      </c>
      <c r="BX50" s="13"/>
      <c r="BZ50" s="10">
        <f t="shared" si="16"/>
        <v>-0.4</v>
      </c>
      <c r="CA50" s="13">
        <f t="shared" si="17"/>
        <v>560</v>
      </c>
      <c r="CB50" s="9">
        <f t="shared" si="18"/>
        <v>-21</v>
      </c>
      <c r="CC50" s="13">
        <f t="shared" si="47"/>
        <v>560</v>
      </c>
      <c r="CD50">
        <f t="shared" si="48"/>
        <v>4976</v>
      </c>
      <c r="CE50" s="13">
        <f t="shared" si="49"/>
        <v>560</v>
      </c>
      <c r="CF50" s="13"/>
      <c r="CV50" s="9">
        <f t="shared" si="55"/>
        <v>0.71524299496279264</v>
      </c>
      <c r="CW50" s="9">
        <f t="shared" si="50"/>
        <v>27.335612945410645</v>
      </c>
      <c r="CX50" s="9"/>
      <c r="CY50" s="9">
        <f t="shared" si="51"/>
        <v>0.71524299496279264</v>
      </c>
      <c r="CZ50" s="9">
        <f t="shared" si="52"/>
        <v>27.335612945410645</v>
      </c>
    </row>
    <row r="51" spans="1:104" x14ac:dyDescent="0.25">
      <c r="A51" s="8"/>
      <c r="B51" s="21" t="str">
        <f>'Eingabe Diagramme'!B44</f>
        <v xml:space="preserve">  558.0   5005   -0.5  -20.5     20   1.35     98     13  322.1  326.9  322.4</v>
      </c>
      <c r="C51" s="19"/>
      <c r="D51" s="19"/>
      <c r="E51" s="19"/>
      <c r="F51" s="19"/>
      <c r="G51" s="19"/>
      <c r="H51" s="19"/>
      <c r="I51" s="20"/>
      <c r="J51" s="19"/>
      <c r="K51" s="19"/>
      <c r="L51" s="11" t="str">
        <f t="shared" si="53"/>
        <v xml:space="preserve">  558.0</v>
      </c>
      <c r="M51" s="11" t="str">
        <f t="shared" si="1"/>
        <v xml:space="preserve"> 5005</v>
      </c>
      <c r="N51" s="11" t="str">
        <f t="shared" si="2"/>
        <v xml:space="preserve"> -0.5</v>
      </c>
      <c r="O51" s="11" t="str">
        <f t="shared" si="3"/>
        <v>-20.5</v>
      </c>
      <c r="P51" s="11" t="str">
        <f t="shared" si="4"/>
        <v xml:space="preserve"> 20</v>
      </c>
      <c r="Q51" s="11" t="str">
        <f t="shared" si="5"/>
        <v xml:space="preserve"> 1.35</v>
      </c>
      <c r="R51" s="11" t="str">
        <f t="shared" si="6"/>
        <v xml:space="preserve"> 98</v>
      </c>
      <c r="S51" s="11" t="str">
        <f t="shared" si="19"/>
        <v xml:space="preserve"> 13</v>
      </c>
      <c r="T51" s="11" t="str">
        <f t="shared" si="20"/>
        <v>322.1</v>
      </c>
      <c r="U51" s="11" t="str">
        <f t="shared" si="21"/>
        <v>326.9</v>
      </c>
      <c r="V51" s="11" t="str">
        <f t="shared" si="22"/>
        <v>322.4</v>
      </c>
      <c r="W51" s="11"/>
      <c r="Y51" s="13">
        <f t="shared" si="7"/>
        <v>558</v>
      </c>
      <c r="Z51" s="13">
        <f t="shared" si="8"/>
        <v>5005</v>
      </c>
      <c r="AA51" s="10">
        <f t="shared" si="9"/>
        <v>-0.5</v>
      </c>
      <c r="AB51" s="10">
        <f t="shared" si="10"/>
        <v>-20.5</v>
      </c>
      <c r="AC51" s="13">
        <f t="shared" si="11"/>
        <v>20</v>
      </c>
      <c r="AD51" s="9">
        <f t="shared" si="12"/>
        <v>1.35</v>
      </c>
      <c r="AE51" s="13">
        <f t="shared" si="13"/>
        <v>98</v>
      </c>
      <c r="AF51" s="13">
        <f t="shared" si="14"/>
        <v>13</v>
      </c>
      <c r="AG51" s="27">
        <f t="shared" si="23"/>
        <v>24.076000000000001</v>
      </c>
      <c r="AH51" s="29">
        <f t="shared" si="24"/>
        <v>322.10000000000002</v>
      </c>
      <c r="AI51" s="29">
        <f t="shared" si="25"/>
        <v>326.89999999999998</v>
      </c>
      <c r="AJ51" s="29">
        <f t="shared" si="26"/>
        <v>322.39999999999998</v>
      </c>
      <c r="AK51" s="27">
        <f t="shared" si="27"/>
        <v>48.950000000000045</v>
      </c>
      <c r="AL51" s="27">
        <f t="shared" si="28"/>
        <v>53.75</v>
      </c>
      <c r="AM51" s="27">
        <f t="shared" si="29"/>
        <v>49.25</v>
      </c>
      <c r="AP51" s="10">
        <f t="shared" si="30"/>
        <v>-20.5</v>
      </c>
      <c r="AQ51" s="13">
        <f t="shared" si="31"/>
        <v>5005</v>
      </c>
      <c r="AR51" s="10">
        <f t="shared" si="32"/>
        <v>-0.5</v>
      </c>
      <c r="AS51" s="13">
        <f t="shared" si="33"/>
        <v>5005</v>
      </c>
      <c r="AV51" s="13">
        <f t="shared" si="34"/>
        <v>558</v>
      </c>
      <c r="AW51" s="13">
        <f t="shared" si="35"/>
        <v>5005</v>
      </c>
      <c r="AY51" s="13">
        <f t="shared" si="36"/>
        <v>20</v>
      </c>
      <c r="AZ51" s="13">
        <f t="shared" si="37"/>
        <v>5005</v>
      </c>
      <c r="BA51" s="13"/>
      <c r="BB51" s="13"/>
      <c r="BC51" s="10">
        <f t="shared" si="38"/>
        <v>20</v>
      </c>
      <c r="BD51" s="10">
        <f t="shared" si="39"/>
        <v>20</v>
      </c>
      <c r="BE51" s="13">
        <f t="shared" si="40"/>
        <v>5005</v>
      </c>
      <c r="BG51" s="9">
        <f t="shared" si="41"/>
        <v>1.35</v>
      </c>
      <c r="BH51" s="13">
        <f t="shared" si="42"/>
        <v>5005</v>
      </c>
      <c r="BJ51" s="13">
        <f t="shared" si="43"/>
        <v>98</v>
      </c>
      <c r="BK51" s="13">
        <f t="shared" si="44"/>
        <v>5005</v>
      </c>
      <c r="BL51" s="13"/>
      <c r="BM51" s="13">
        <f t="shared" si="45"/>
        <v>24.076000000000001</v>
      </c>
      <c r="BN51" s="13">
        <f t="shared" si="46"/>
        <v>5005</v>
      </c>
      <c r="BO51" s="13"/>
      <c r="BP51" s="13"/>
      <c r="BQ51" s="10"/>
      <c r="BR51" s="10">
        <f t="shared" si="54"/>
        <v>13.05</v>
      </c>
      <c r="BS51">
        <v>2300</v>
      </c>
      <c r="BT51" s="13"/>
      <c r="BV51" s="25">
        <f t="shared" si="15"/>
        <v>765.82016204684942</v>
      </c>
      <c r="BW51">
        <v>2300</v>
      </c>
      <c r="BX51" s="13"/>
      <c r="BZ51" s="10">
        <f t="shared" si="16"/>
        <v>-0.5</v>
      </c>
      <c r="CA51" s="13">
        <f t="shared" si="17"/>
        <v>558</v>
      </c>
      <c r="CB51" s="9">
        <f t="shared" si="18"/>
        <v>-20.5</v>
      </c>
      <c r="CC51" s="13">
        <f t="shared" si="47"/>
        <v>558</v>
      </c>
      <c r="CD51">
        <f t="shared" si="48"/>
        <v>5005</v>
      </c>
      <c r="CE51" s="13">
        <f t="shared" si="49"/>
        <v>558</v>
      </c>
      <c r="CF51" s="13"/>
      <c r="CV51" s="9">
        <f t="shared" si="55"/>
        <v>0.71294994889356289</v>
      </c>
      <c r="CW51" s="9">
        <f t="shared" si="50"/>
        <v>566.16780287246979</v>
      </c>
      <c r="CX51" s="9"/>
      <c r="CY51" s="9">
        <f t="shared" si="51"/>
        <v>0.71294994889356289</v>
      </c>
      <c r="CZ51" s="9">
        <f t="shared" si="52"/>
        <v>566.16780287246979</v>
      </c>
    </row>
    <row r="52" spans="1:104" x14ac:dyDescent="0.25">
      <c r="A52" s="8"/>
      <c r="B52" s="21" t="str">
        <f>'Eingabe Diagramme'!B45</f>
        <v xml:space="preserve">  528.0   5442   -4.2  -14.5     44   2.36     65     10  322.8  330.9  323.2</v>
      </c>
      <c r="C52" s="19"/>
      <c r="D52" s="19"/>
      <c r="E52" s="19"/>
      <c r="F52" s="19"/>
      <c r="G52" s="19"/>
      <c r="H52" s="19"/>
      <c r="I52" s="20"/>
      <c r="J52" s="19"/>
      <c r="K52" s="19"/>
      <c r="L52" s="11" t="str">
        <f t="shared" si="53"/>
        <v xml:space="preserve">  528.0</v>
      </c>
      <c r="M52" s="11" t="str">
        <f t="shared" si="1"/>
        <v xml:space="preserve"> 5442</v>
      </c>
      <c r="N52" s="11" t="str">
        <f t="shared" si="2"/>
        <v xml:space="preserve"> -4.2</v>
      </c>
      <c r="O52" s="11" t="str">
        <f t="shared" si="3"/>
        <v>-14.5</v>
      </c>
      <c r="P52" s="11" t="str">
        <f t="shared" si="4"/>
        <v xml:space="preserve"> 44</v>
      </c>
      <c r="Q52" s="11" t="str">
        <f t="shared" si="5"/>
        <v xml:space="preserve"> 2.36</v>
      </c>
      <c r="R52" s="11" t="str">
        <f t="shared" si="6"/>
        <v xml:space="preserve"> 65</v>
      </c>
      <c r="S52" s="11" t="str">
        <f t="shared" si="19"/>
        <v xml:space="preserve"> 10</v>
      </c>
      <c r="T52" s="11" t="str">
        <f t="shared" si="20"/>
        <v>322.8</v>
      </c>
      <c r="U52" s="11" t="str">
        <f t="shared" si="21"/>
        <v>330.9</v>
      </c>
      <c r="V52" s="11" t="str">
        <f t="shared" si="22"/>
        <v>323.2</v>
      </c>
      <c r="W52" s="11"/>
      <c r="Y52" s="13">
        <f t="shared" si="7"/>
        <v>528</v>
      </c>
      <c r="Z52" s="13">
        <f t="shared" si="8"/>
        <v>5442</v>
      </c>
      <c r="AA52" s="10">
        <f t="shared" si="9"/>
        <v>-4.2</v>
      </c>
      <c r="AB52" s="10">
        <f t="shared" si="10"/>
        <v>-14.5</v>
      </c>
      <c r="AC52" s="13">
        <f t="shared" si="11"/>
        <v>44</v>
      </c>
      <c r="AD52" s="9">
        <f t="shared" si="12"/>
        <v>2.36</v>
      </c>
      <c r="AE52" s="13">
        <f t="shared" si="13"/>
        <v>65</v>
      </c>
      <c r="AF52" s="13">
        <f t="shared" si="14"/>
        <v>10</v>
      </c>
      <c r="AG52" s="27">
        <f t="shared" si="23"/>
        <v>18.52</v>
      </c>
      <c r="AH52" s="29">
        <f t="shared" si="24"/>
        <v>322.8</v>
      </c>
      <c r="AI52" s="29">
        <f t="shared" si="25"/>
        <v>330.9</v>
      </c>
      <c r="AJ52" s="29">
        <f t="shared" si="26"/>
        <v>323.2</v>
      </c>
      <c r="AK52" s="27">
        <f t="shared" si="27"/>
        <v>49.650000000000034</v>
      </c>
      <c r="AL52" s="27">
        <f t="shared" si="28"/>
        <v>57.75</v>
      </c>
      <c r="AM52" s="27">
        <f t="shared" si="29"/>
        <v>50.050000000000011</v>
      </c>
      <c r="AP52" s="10">
        <f t="shared" si="30"/>
        <v>-14.5</v>
      </c>
      <c r="AQ52" s="13">
        <f t="shared" si="31"/>
        <v>5442</v>
      </c>
      <c r="AR52" s="10">
        <f t="shared" si="32"/>
        <v>-4.2</v>
      </c>
      <c r="AS52" s="13">
        <f t="shared" si="33"/>
        <v>5442</v>
      </c>
      <c r="AV52" s="13">
        <f t="shared" si="34"/>
        <v>528</v>
      </c>
      <c r="AW52" s="13">
        <f t="shared" si="35"/>
        <v>5442</v>
      </c>
      <c r="AY52" s="13">
        <f t="shared" si="36"/>
        <v>44</v>
      </c>
      <c r="AZ52" s="13">
        <f t="shared" si="37"/>
        <v>5442</v>
      </c>
      <c r="BA52" s="13"/>
      <c r="BB52" s="13"/>
      <c r="BC52" s="10">
        <f t="shared" si="38"/>
        <v>10.3</v>
      </c>
      <c r="BD52" s="10">
        <f t="shared" si="39"/>
        <v>10.3</v>
      </c>
      <c r="BE52" s="13">
        <f t="shared" si="40"/>
        <v>5442</v>
      </c>
      <c r="BG52" s="9">
        <f t="shared" si="41"/>
        <v>2.36</v>
      </c>
      <c r="BH52" s="13">
        <f t="shared" si="42"/>
        <v>5442</v>
      </c>
      <c r="BJ52" s="13">
        <f t="shared" si="43"/>
        <v>65</v>
      </c>
      <c r="BK52" s="13">
        <f t="shared" si="44"/>
        <v>5442</v>
      </c>
      <c r="BL52" s="13"/>
      <c r="BM52" s="13">
        <f t="shared" si="45"/>
        <v>18.52</v>
      </c>
      <c r="BN52" s="13">
        <f t="shared" si="46"/>
        <v>5442</v>
      </c>
      <c r="BO52" s="13"/>
      <c r="BP52" s="13"/>
      <c r="BQ52" s="10"/>
      <c r="BR52" s="10">
        <f t="shared" si="54"/>
        <v>12.4</v>
      </c>
      <c r="BS52">
        <v>2400</v>
      </c>
      <c r="BT52" s="13"/>
      <c r="BV52" s="25">
        <f t="shared" si="15"/>
        <v>756.29364840716585</v>
      </c>
      <c r="BW52">
        <v>2400</v>
      </c>
      <c r="BX52" s="13"/>
      <c r="BZ52" s="10">
        <f t="shared" si="16"/>
        <v>-4.2</v>
      </c>
      <c r="CA52" s="13">
        <f t="shared" si="17"/>
        <v>528</v>
      </c>
      <c r="CB52" s="9">
        <f t="shared" si="18"/>
        <v>-14.5</v>
      </c>
      <c r="CC52" s="13">
        <f t="shared" si="47"/>
        <v>528</v>
      </c>
      <c r="CD52">
        <f t="shared" si="48"/>
        <v>5442</v>
      </c>
      <c r="CE52" s="13">
        <f t="shared" si="49"/>
        <v>528</v>
      </c>
      <c r="CF52" s="13"/>
      <c r="CV52" s="9">
        <f t="shared" si="55"/>
        <v>0.68390018186188151</v>
      </c>
      <c r="CW52" s="9">
        <f t="shared" si="50"/>
        <v>182.13573317417226</v>
      </c>
      <c r="CX52" s="9"/>
      <c r="CY52" s="9">
        <f t="shared" si="51"/>
        <v>0.68390018186188151</v>
      </c>
      <c r="CZ52" s="9">
        <f t="shared" si="52"/>
        <v>182.13573317417226</v>
      </c>
    </row>
    <row r="53" spans="1:104" x14ac:dyDescent="0.25">
      <c r="A53" s="8"/>
      <c r="B53" s="21" t="str">
        <f>'Eingabe Diagramme'!B46</f>
        <v xml:space="preserve">  521.0   5548   -5.1  -13.1     53   2.69     80     11  322.9  332.2  323.5</v>
      </c>
      <c r="C53" s="19"/>
      <c r="D53" s="19"/>
      <c r="E53" s="19"/>
      <c r="F53" s="19"/>
      <c r="G53" s="19"/>
      <c r="H53" s="19"/>
      <c r="I53" s="20"/>
      <c r="J53" s="19"/>
      <c r="K53" s="19"/>
      <c r="L53" s="11" t="str">
        <f t="shared" si="53"/>
        <v xml:space="preserve">  521.0</v>
      </c>
      <c r="M53" s="11" t="str">
        <f t="shared" si="1"/>
        <v xml:space="preserve"> 5548</v>
      </c>
      <c r="N53" s="11" t="str">
        <f t="shared" si="2"/>
        <v xml:space="preserve"> -5.1</v>
      </c>
      <c r="O53" s="11" t="str">
        <f t="shared" si="3"/>
        <v>-13.1</v>
      </c>
      <c r="P53" s="11" t="str">
        <f t="shared" si="4"/>
        <v xml:space="preserve"> 53</v>
      </c>
      <c r="Q53" s="11" t="str">
        <f t="shared" si="5"/>
        <v xml:space="preserve"> 2.69</v>
      </c>
      <c r="R53" s="11" t="str">
        <f t="shared" si="6"/>
        <v xml:space="preserve"> 80</v>
      </c>
      <c r="S53" s="11" t="str">
        <f t="shared" si="19"/>
        <v xml:space="preserve"> 11</v>
      </c>
      <c r="T53" s="11" t="str">
        <f t="shared" si="20"/>
        <v>322.9</v>
      </c>
      <c r="U53" s="11" t="str">
        <f t="shared" si="21"/>
        <v>332.2</v>
      </c>
      <c r="V53" s="11" t="str">
        <f t="shared" si="22"/>
        <v>323.5</v>
      </c>
      <c r="W53" s="11"/>
      <c r="Y53" s="13">
        <f t="shared" si="7"/>
        <v>521</v>
      </c>
      <c r="Z53" s="13">
        <f t="shared" si="8"/>
        <v>5548</v>
      </c>
      <c r="AA53" s="10">
        <f t="shared" si="9"/>
        <v>-5.0999999999999996</v>
      </c>
      <c r="AB53" s="10">
        <f t="shared" si="10"/>
        <v>-13.1</v>
      </c>
      <c r="AC53" s="13">
        <f t="shared" si="11"/>
        <v>53</v>
      </c>
      <c r="AD53" s="9">
        <f t="shared" si="12"/>
        <v>2.69</v>
      </c>
      <c r="AE53" s="13">
        <f t="shared" si="13"/>
        <v>80</v>
      </c>
      <c r="AF53" s="13">
        <f t="shared" si="14"/>
        <v>11</v>
      </c>
      <c r="AG53" s="27">
        <f t="shared" si="23"/>
        <v>20.372</v>
      </c>
      <c r="AH53" s="29">
        <f t="shared" si="24"/>
        <v>322.89999999999998</v>
      </c>
      <c r="AI53" s="29">
        <f t="shared" si="25"/>
        <v>332.2</v>
      </c>
      <c r="AJ53" s="29">
        <f t="shared" si="26"/>
        <v>323.5</v>
      </c>
      <c r="AK53" s="27">
        <f t="shared" si="27"/>
        <v>49.75</v>
      </c>
      <c r="AL53" s="27">
        <f t="shared" si="28"/>
        <v>59.050000000000011</v>
      </c>
      <c r="AM53" s="27">
        <f t="shared" si="29"/>
        <v>50.350000000000023</v>
      </c>
      <c r="AP53" s="10">
        <f t="shared" si="30"/>
        <v>-13.1</v>
      </c>
      <c r="AQ53" s="13">
        <f t="shared" si="31"/>
        <v>5548</v>
      </c>
      <c r="AR53" s="10">
        <f t="shared" si="32"/>
        <v>-5.0999999999999996</v>
      </c>
      <c r="AS53" s="13">
        <f t="shared" si="33"/>
        <v>5548</v>
      </c>
      <c r="AV53" s="13">
        <f t="shared" si="34"/>
        <v>521</v>
      </c>
      <c r="AW53" s="13">
        <f t="shared" si="35"/>
        <v>5548</v>
      </c>
      <c r="AY53" s="13">
        <f t="shared" si="36"/>
        <v>53</v>
      </c>
      <c r="AZ53" s="13">
        <f t="shared" si="37"/>
        <v>5548</v>
      </c>
      <c r="BA53" s="13"/>
      <c r="BB53" s="13"/>
      <c r="BC53" s="10">
        <f t="shared" si="38"/>
        <v>8</v>
      </c>
      <c r="BD53" s="10">
        <f t="shared" si="39"/>
        <v>8</v>
      </c>
      <c r="BE53" s="13">
        <f t="shared" si="40"/>
        <v>5548</v>
      </c>
      <c r="BG53" s="9">
        <f t="shared" si="41"/>
        <v>2.69</v>
      </c>
      <c r="BH53" s="13">
        <f t="shared" si="42"/>
        <v>5548</v>
      </c>
      <c r="BJ53" s="13">
        <f t="shared" si="43"/>
        <v>80</v>
      </c>
      <c r="BK53" s="13">
        <f t="shared" si="44"/>
        <v>5548</v>
      </c>
      <c r="BL53" s="13"/>
      <c r="BM53" s="13">
        <f t="shared" si="45"/>
        <v>20.372</v>
      </c>
      <c r="BN53" s="13">
        <f t="shared" si="46"/>
        <v>5548</v>
      </c>
      <c r="BO53" s="13"/>
      <c r="BP53" s="13"/>
      <c r="BQ53" s="10"/>
      <c r="BR53" s="10">
        <f t="shared" si="54"/>
        <v>11.75</v>
      </c>
      <c r="BS53">
        <v>2500</v>
      </c>
      <c r="BT53" s="13"/>
      <c r="BV53" s="25">
        <f t="shared" si="15"/>
        <v>746.86331782738466</v>
      </c>
      <c r="BW53">
        <v>2500</v>
      </c>
      <c r="BX53" s="13"/>
      <c r="BZ53" s="10">
        <f t="shared" si="16"/>
        <v>-5.0999999999999996</v>
      </c>
      <c r="CA53" s="13">
        <f t="shared" si="17"/>
        <v>521</v>
      </c>
      <c r="CB53" s="9">
        <f t="shared" si="18"/>
        <v>-13.1</v>
      </c>
      <c r="CC53" s="13">
        <f t="shared" si="47"/>
        <v>521</v>
      </c>
      <c r="CD53">
        <f t="shared" si="48"/>
        <v>5548</v>
      </c>
      <c r="CE53" s="13">
        <f t="shared" si="49"/>
        <v>521</v>
      </c>
      <c r="CF53" s="13"/>
      <c r="CV53" s="9">
        <f t="shared" si="55"/>
        <v>0.67709913197463834</v>
      </c>
      <c r="CW53" s="9">
        <f t="shared" si="50"/>
        <v>229.64289971589477</v>
      </c>
      <c r="CX53" s="9"/>
      <c r="CY53" s="9">
        <f t="shared" si="51"/>
        <v>0.67709913197463834</v>
      </c>
      <c r="CZ53" s="9">
        <f t="shared" si="52"/>
        <v>229.64289971589477</v>
      </c>
    </row>
    <row r="54" spans="1:104" x14ac:dyDescent="0.25">
      <c r="A54" s="8"/>
      <c r="B54" s="21" t="str">
        <f>'Eingabe Diagramme'!B47</f>
        <v xml:space="preserve">  511.0   5700   -5.8  -18.1     37   1.81     65     13  323.8  330.2  324.2</v>
      </c>
      <c r="C54" s="19"/>
      <c r="D54" s="19"/>
      <c r="E54" s="19"/>
      <c r="F54" s="19"/>
      <c r="G54" s="19"/>
      <c r="H54" s="19"/>
      <c r="I54" s="20"/>
      <c r="J54" s="19"/>
      <c r="K54" s="19"/>
      <c r="L54" s="11" t="str">
        <f t="shared" si="53"/>
        <v xml:space="preserve">  511.0</v>
      </c>
      <c r="M54" s="11" t="str">
        <f t="shared" si="1"/>
        <v xml:space="preserve"> 5700</v>
      </c>
      <c r="N54" s="11" t="str">
        <f t="shared" si="2"/>
        <v xml:space="preserve"> -5.8</v>
      </c>
      <c r="O54" s="11" t="str">
        <f t="shared" si="3"/>
        <v>-18.1</v>
      </c>
      <c r="P54" s="11" t="str">
        <f t="shared" si="4"/>
        <v xml:space="preserve"> 37</v>
      </c>
      <c r="Q54" s="11" t="str">
        <f t="shared" si="5"/>
        <v xml:space="preserve"> 1.81</v>
      </c>
      <c r="R54" s="11" t="str">
        <f t="shared" si="6"/>
        <v xml:space="preserve"> 65</v>
      </c>
      <c r="S54" s="11" t="str">
        <f t="shared" si="19"/>
        <v xml:space="preserve"> 13</v>
      </c>
      <c r="T54" s="11" t="str">
        <f t="shared" si="20"/>
        <v>323.8</v>
      </c>
      <c r="U54" s="11" t="str">
        <f t="shared" si="21"/>
        <v>330.2</v>
      </c>
      <c r="V54" s="11" t="str">
        <f t="shared" si="22"/>
        <v>324.2</v>
      </c>
      <c r="W54" s="11"/>
      <c r="Y54" s="13">
        <f t="shared" si="7"/>
        <v>511</v>
      </c>
      <c r="Z54" s="13">
        <f t="shared" si="8"/>
        <v>5700</v>
      </c>
      <c r="AA54" s="10">
        <f t="shared" si="9"/>
        <v>-5.8</v>
      </c>
      <c r="AB54" s="10">
        <f t="shared" si="10"/>
        <v>-18.100000000000001</v>
      </c>
      <c r="AC54" s="13">
        <f t="shared" si="11"/>
        <v>37</v>
      </c>
      <c r="AD54" s="9">
        <f t="shared" si="12"/>
        <v>1.81</v>
      </c>
      <c r="AE54" s="13">
        <f t="shared" si="13"/>
        <v>65</v>
      </c>
      <c r="AF54" s="13">
        <f t="shared" si="14"/>
        <v>13</v>
      </c>
      <c r="AG54" s="27">
        <f t="shared" si="23"/>
        <v>24.076000000000001</v>
      </c>
      <c r="AH54" s="29">
        <f t="shared" si="24"/>
        <v>323.8</v>
      </c>
      <c r="AI54" s="29">
        <f t="shared" si="25"/>
        <v>330.2</v>
      </c>
      <c r="AJ54" s="29">
        <f t="shared" si="26"/>
        <v>324.2</v>
      </c>
      <c r="AK54" s="27">
        <f t="shared" si="27"/>
        <v>50.650000000000034</v>
      </c>
      <c r="AL54" s="27">
        <f t="shared" si="28"/>
        <v>57.050000000000011</v>
      </c>
      <c r="AM54" s="27">
        <f t="shared" si="29"/>
        <v>51.050000000000011</v>
      </c>
      <c r="AP54" s="10">
        <f t="shared" si="30"/>
        <v>-18.100000000000001</v>
      </c>
      <c r="AQ54" s="13">
        <f t="shared" si="31"/>
        <v>5700</v>
      </c>
      <c r="AR54" s="10">
        <f t="shared" si="32"/>
        <v>-5.8</v>
      </c>
      <c r="AS54" s="13">
        <f t="shared" si="33"/>
        <v>5700</v>
      </c>
      <c r="AV54" s="13">
        <f t="shared" si="34"/>
        <v>511</v>
      </c>
      <c r="AW54" s="13">
        <f t="shared" si="35"/>
        <v>5700</v>
      </c>
      <c r="AY54" s="13">
        <f t="shared" si="36"/>
        <v>37</v>
      </c>
      <c r="AZ54" s="13">
        <f t="shared" si="37"/>
        <v>5700</v>
      </c>
      <c r="BA54" s="13"/>
      <c r="BB54" s="13"/>
      <c r="BC54" s="10">
        <f t="shared" si="38"/>
        <v>12.3</v>
      </c>
      <c r="BD54" s="10">
        <f t="shared" si="39"/>
        <v>12.3</v>
      </c>
      <c r="BE54" s="13">
        <f t="shared" si="40"/>
        <v>5700</v>
      </c>
      <c r="BG54" s="9">
        <f t="shared" si="41"/>
        <v>1.81</v>
      </c>
      <c r="BH54" s="13">
        <f t="shared" si="42"/>
        <v>5700</v>
      </c>
      <c r="BJ54" s="13">
        <f t="shared" si="43"/>
        <v>65</v>
      </c>
      <c r="BK54" s="13">
        <f t="shared" si="44"/>
        <v>5700</v>
      </c>
      <c r="BL54" s="13"/>
      <c r="BM54" s="13">
        <f t="shared" si="45"/>
        <v>24.076000000000001</v>
      </c>
      <c r="BN54" s="13">
        <f t="shared" si="46"/>
        <v>5700</v>
      </c>
      <c r="BO54" s="13"/>
      <c r="BP54" s="13"/>
      <c r="BQ54" s="10"/>
      <c r="BR54" s="10">
        <f t="shared" si="54"/>
        <v>11.100000000000001</v>
      </c>
      <c r="BS54">
        <v>2600</v>
      </c>
      <c r="BT54" s="13"/>
      <c r="BV54" s="25">
        <f t="shared" si="15"/>
        <v>737.52842566534525</v>
      </c>
      <c r="BW54">
        <v>2600</v>
      </c>
      <c r="BX54" s="13"/>
      <c r="BZ54" s="10">
        <f t="shared" si="16"/>
        <v>-5.8</v>
      </c>
      <c r="CA54" s="13">
        <f t="shared" si="17"/>
        <v>511</v>
      </c>
      <c r="CB54" s="9">
        <f t="shared" si="18"/>
        <v>-18.100000000000001</v>
      </c>
      <c r="CC54" s="13">
        <f t="shared" si="47"/>
        <v>511</v>
      </c>
      <c r="CD54">
        <f t="shared" si="48"/>
        <v>5700</v>
      </c>
      <c r="CE54" s="13">
        <f t="shared" si="49"/>
        <v>511</v>
      </c>
      <c r="CF54" s="13"/>
      <c r="CV54" s="9">
        <f t="shared" si="55"/>
        <v>0.66584180203644217</v>
      </c>
      <c r="CW54" s="9">
        <f t="shared" si="50"/>
        <v>152.53076961060276</v>
      </c>
      <c r="CX54" s="9"/>
      <c r="CY54" s="9">
        <f t="shared" si="51"/>
        <v>0.66584180203644217</v>
      </c>
      <c r="CZ54" s="9">
        <f t="shared" si="52"/>
        <v>152.53076961060276</v>
      </c>
    </row>
    <row r="55" spans="1:104" x14ac:dyDescent="0.25">
      <c r="A55" s="8"/>
      <c r="B55" s="21" t="str">
        <f>'Eingabe Diagramme'!B48</f>
        <v xml:space="preserve">  501.0   5854   -6.6  -23.2     26   1.19     85     19  324.7  329.0  324.9</v>
      </c>
      <c r="C55" s="19"/>
      <c r="D55" s="19"/>
      <c r="E55" s="19"/>
      <c r="F55" s="19"/>
      <c r="G55" s="19"/>
      <c r="H55" s="19"/>
      <c r="I55" s="20"/>
      <c r="J55" s="19"/>
      <c r="K55" s="19"/>
      <c r="L55" s="11" t="str">
        <f t="shared" si="53"/>
        <v xml:space="preserve">  501.0</v>
      </c>
      <c r="M55" s="11" t="str">
        <f t="shared" si="1"/>
        <v xml:space="preserve"> 5854</v>
      </c>
      <c r="N55" s="11" t="str">
        <f t="shared" si="2"/>
        <v xml:space="preserve"> -6.6</v>
      </c>
      <c r="O55" s="11" t="str">
        <f t="shared" si="3"/>
        <v>-23.2</v>
      </c>
      <c r="P55" s="11" t="str">
        <f t="shared" si="4"/>
        <v xml:space="preserve"> 26</v>
      </c>
      <c r="Q55" s="11" t="str">
        <f t="shared" si="5"/>
        <v xml:space="preserve"> 1.19</v>
      </c>
      <c r="R55" s="11" t="str">
        <f t="shared" si="6"/>
        <v xml:space="preserve"> 85</v>
      </c>
      <c r="S55" s="11" t="str">
        <f t="shared" si="19"/>
        <v xml:space="preserve"> 19</v>
      </c>
      <c r="T55" s="11" t="str">
        <f t="shared" si="20"/>
        <v>324.7</v>
      </c>
      <c r="U55" s="11" t="str">
        <f t="shared" si="21"/>
        <v>329.0</v>
      </c>
      <c r="V55" s="11" t="str">
        <f t="shared" si="22"/>
        <v>324.9</v>
      </c>
      <c r="W55" s="11"/>
      <c r="Y55" s="13">
        <f t="shared" si="7"/>
        <v>501</v>
      </c>
      <c r="Z55" s="13">
        <f t="shared" si="8"/>
        <v>5854</v>
      </c>
      <c r="AA55" s="10">
        <f t="shared" si="9"/>
        <v>-6.6</v>
      </c>
      <c r="AB55" s="10">
        <f t="shared" si="10"/>
        <v>-23.2</v>
      </c>
      <c r="AC55" s="13">
        <f t="shared" si="11"/>
        <v>26</v>
      </c>
      <c r="AD55" s="9">
        <f t="shared" si="12"/>
        <v>1.19</v>
      </c>
      <c r="AE55" s="13">
        <f t="shared" si="13"/>
        <v>85</v>
      </c>
      <c r="AF55" s="13">
        <f t="shared" si="14"/>
        <v>19</v>
      </c>
      <c r="AG55" s="27">
        <f t="shared" si="23"/>
        <v>35.188000000000002</v>
      </c>
      <c r="AH55" s="29">
        <f t="shared" si="24"/>
        <v>324.7</v>
      </c>
      <c r="AI55" s="29">
        <f t="shared" si="25"/>
        <v>329</v>
      </c>
      <c r="AJ55" s="29">
        <f t="shared" si="26"/>
        <v>324.89999999999998</v>
      </c>
      <c r="AK55" s="27">
        <f t="shared" si="27"/>
        <v>51.550000000000011</v>
      </c>
      <c r="AL55" s="27">
        <f t="shared" si="28"/>
        <v>55.850000000000023</v>
      </c>
      <c r="AM55" s="27">
        <f t="shared" si="29"/>
        <v>51.75</v>
      </c>
      <c r="AP55" s="10">
        <f t="shared" si="30"/>
        <v>-23.2</v>
      </c>
      <c r="AQ55" s="13">
        <f t="shared" si="31"/>
        <v>5854</v>
      </c>
      <c r="AR55" s="10">
        <f t="shared" si="32"/>
        <v>-6.6</v>
      </c>
      <c r="AS55" s="13">
        <f t="shared" si="33"/>
        <v>5854</v>
      </c>
      <c r="AV55" s="13">
        <f t="shared" si="34"/>
        <v>501</v>
      </c>
      <c r="AW55" s="13">
        <f t="shared" si="35"/>
        <v>5854</v>
      </c>
      <c r="AY55" s="13">
        <f t="shared" si="36"/>
        <v>26</v>
      </c>
      <c r="AZ55" s="13">
        <f t="shared" si="37"/>
        <v>5854</v>
      </c>
      <c r="BA55" s="13"/>
      <c r="BB55" s="13"/>
      <c r="BC55" s="10">
        <f t="shared" si="38"/>
        <v>16.600000000000001</v>
      </c>
      <c r="BD55" s="10">
        <f t="shared" si="39"/>
        <v>16.600000000000001</v>
      </c>
      <c r="BE55" s="13">
        <f t="shared" si="40"/>
        <v>5854</v>
      </c>
      <c r="BG55" s="9">
        <f t="shared" si="41"/>
        <v>1.19</v>
      </c>
      <c r="BH55" s="13">
        <f t="shared" si="42"/>
        <v>5854</v>
      </c>
      <c r="BJ55" s="13">
        <f t="shared" si="43"/>
        <v>85</v>
      </c>
      <c r="BK55" s="13">
        <f t="shared" si="44"/>
        <v>5854</v>
      </c>
      <c r="BL55" s="13"/>
      <c r="BM55" s="13">
        <f t="shared" si="45"/>
        <v>35.188000000000002</v>
      </c>
      <c r="BN55" s="13">
        <f t="shared" si="46"/>
        <v>5854</v>
      </c>
      <c r="BO55" s="13"/>
      <c r="BP55" s="13"/>
      <c r="BQ55" s="10"/>
      <c r="BR55" s="10">
        <f t="shared" si="54"/>
        <v>10.45</v>
      </c>
      <c r="BS55">
        <v>2700</v>
      </c>
      <c r="BT55" s="13"/>
      <c r="BV55" s="25">
        <f t="shared" si="15"/>
        <v>728.28823128227475</v>
      </c>
      <c r="BW55">
        <v>2700</v>
      </c>
      <c r="BX55" s="13"/>
      <c r="BZ55" s="10">
        <f t="shared" si="16"/>
        <v>-6.6</v>
      </c>
      <c r="CA55" s="13">
        <f t="shared" si="17"/>
        <v>501</v>
      </c>
      <c r="CB55" s="9">
        <f t="shared" si="18"/>
        <v>-23.2</v>
      </c>
      <c r="CC55" s="13">
        <f t="shared" si="47"/>
        <v>501</v>
      </c>
      <c r="CD55">
        <f t="shared" si="48"/>
        <v>5854</v>
      </c>
      <c r="CE55" s="13">
        <f t="shared" si="49"/>
        <v>501</v>
      </c>
      <c r="CF55" s="13"/>
      <c r="CV55" s="9">
        <f t="shared" si="55"/>
        <v>0.65477092186488051</v>
      </c>
      <c r="CW55" s="9">
        <f t="shared" si="50"/>
        <v>12.195035128516565</v>
      </c>
      <c r="CX55" s="9"/>
      <c r="CY55" s="9">
        <f t="shared" si="51"/>
        <v>0.65477092186488051</v>
      </c>
      <c r="CZ55" s="9">
        <f t="shared" si="52"/>
        <v>12.195035128516565</v>
      </c>
    </row>
    <row r="56" spans="1:104" x14ac:dyDescent="0.25">
      <c r="A56" s="8"/>
      <c r="B56" s="21" t="str">
        <f>'Eingabe Diagramme'!B49</f>
        <v xml:space="preserve">  500.0   5870   -6.7  -23.7     25   1.14     85     19  324.8  328.9  325.0</v>
      </c>
      <c r="C56" s="19"/>
      <c r="D56" s="19"/>
      <c r="E56" s="19"/>
      <c r="F56" s="19"/>
      <c r="G56" s="19"/>
      <c r="H56" s="19"/>
      <c r="I56" s="20"/>
      <c r="J56" s="19"/>
      <c r="K56" s="19"/>
      <c r="L56" s="11" t="str">
        <f t="shared" si="53"/>
        <v xml:space="preserve">  500.0</v>
      </c>
      <c r="M56" s="11" t="str">
        <f t="shared" si="1"/>
        <v xml:space="preserve"> 5870</v>
      </c>
      <c r="N56" s="11" t="str">
        <f t="shared" si="2"/>
        <v xml:space="preserve"> -6.7</v>
      </c>
      <c r="O56" s="11" t="str">
        <f t="shared" si="3"/>
        <v>-23.7</v>
      </c>
      <c r="P56" s="11" t="str">
        <f t="shared" si="4"/>
        <v xml:space="preserve"> 25</v>
      </c>
      <c r="Q56" s="11" t="str">
        <f t="shared" si="5"/>
        <v xml:space="preserve"> 1.14</v>
      </c>
      <c r="R56" s="11" t="str">
        <f t="shared" si="6"/>
        <v xml:space="preserve"> 85</v>
      </c>
      <c r="S56" s="11" t="str">
        <f t="shared" si="19"/>
        <v xml:space="preserve"> 19</v>
      </c>
      <c r="T56" s="11" t="str">
        <f t="shared" si="20"/>
        <v>324.8</v>
      </c>
      <c r="U56" s="11" t="str">
        <f t="shared" si="21"/>
        <v>328.9</v>
      </c>
      <c r="V56" s="11" t="str">
        <f t="shared" si="22"/>
        <v>325.0</v>
      </c>
      <c r="W56" s="11"/>
      <c r="Y56" s="13">
        <f t="shared" si="7"/>
        <v>500</v>
      </c>
      <c r="Z56" s="13">
        <f t="shared" si="8"/>
        <v>5870</v>
      </c>
      <c r="AA56" s="10">
        <f t="shared" si="9"/>
        <v>-6.7</v>
      </c>
      <c r="AB56" s="10">
        <f t="shared" si="10"/>
        <v>-23.7</v>
      </c>
      <c r="AC56" s="13">
        <f t="shared" si="11"/>
        <v>25</v>
      </c>
      <c r="AD56" s="9">
        <f t="shared" si="12"/>
        <v>1.1399999999999999</v>
      </c>
      <c r="AE56" s="13">
        <f t="shared" si="13"/>
        <v>85</v>
      </c>
      <c r="AF56" s="13">
        <f t="shared" si="14"/>
        <v>19</v>
      </c>
      <c r="AG56" s="27">
        <f t="shared" si="23"/>
        <v>35.188000000000002</v>
      </c>
      <c r="AH56" s="29">
        <f t="shared" si="24"/>
        <v>324.8</v>
      </c>
      <c r="AI56" s="29">
        <f t="shared" si="25"/>
        <v>328.9</v>
      </c>
      <c r="AJ56" s="29">
        <f t="shared" si="26"/>
        <v>325</v>
      </c>
      <c r="AK56" s="27">
        <f t="shared" si="27"/>
        <v>51.650000000000034</v>
      </c>
      <c r="AL56" s="27">
        <f t="shared" si="28"/>
        <v>55.75</v>
      </c>
      <c r="AM56" s="27">
        <f t="shared" si="29"/>
        <v>51.850000000000023</v>
      </c>
      <c r="AP56" s="10">
        <f t="shared" si="30"/>
        <v>-23.7</v>
      </c>
      <c r="AQ56" s="13">
        <f t="shared" si="31"/>
        <v>5870</v>
      </c>
      <c r="AR56" s="10">
        <f t="shared" si="32"/>
        <v>-6.7</v>
      </c>
      <c r="AS56" s="13">
        <f t="shared" si="33"/>
        <v>5870</v>
      </c>
      <c r="AV56" s="13">
        <f t="shared" si="34"/>
        <v>500</v>
      </c>
      <c r="AW56" s="13">
        <f t="shared" si="35"/>
        <v>5870</v>
      </c>
      <c r="AY56" s="13">
        <f t="shared" si="36"/>
        <v>25</v>
      </c>
      <c r="AZ56" s="13">
        <f t="shared" si="37"/>
        <v>5870</v>
      </c>
      <c r="BA56" s="13"/>
      <c r="BB56" s="13"/>
      <c r="BC56" s="10">
        <f t="shared" si="38"/>
        <v>17</v>
      </c>
      <c r="BD56" s="10">
        <f t="shared" si="39"/>
        <v>17</v>
      </c>
      <c r="BE56" s="13">
        <f t="shared" si="40"/>
        <v>5870</v>
      </c>
      <c r="BG56" s="9">
        <f t="shared" si="41"/>
        <v>1.1399999999999999</v>
      </c>
      <c r="BH56" s="13">
        <f t="shared" si="42"/>
        <v>5870</v>
      </c>
      <c r="BJ56" s="13">
        <f t="shared" si="43"/>
        <v>85</v>
      </c>
      <c r="BK56" s="13">
        <f t="shared" si="44"/>
        <v>5870</v>
      </c>
      <c r="BL56" s="13"/>
      <c r="BM56" s="13">
        <f t="shared" si="45"/>
        <v>35.188000000000002</v>
      </c>
      <c r="BN56" s="13">
        <f t="shared" si="46"/>
        <v>5870</v>
      </c>
      <c r="BO56" s="13"/>
      <c r="BP56" s="13"/>
      <c r="BQ56" s="10"/>
      <c r="BR56" s="10">
        <f t="shared" si="54"/>
        <v>9.8000000000000007</v>
      </c>
      <c r="BS56">
        <v>2800</v>
      </c>
      <c r="BT56" s="13"/>
      <c r="BV56" s="25">
        <f t="shared" si="15"/>
        <v>719.14199803078043</v>
      </c>
      <c r="BW56">
        <v>2800</v>
      </c>
      <c r="BX56" s="13"/>
      <c r="BZ56" s="10">
        <f t="shared" si="16"/>
        <v>-6.7</v>
      </c>
      <c r="CA56" s="13">
        <f t="shared" si="17"/>
        <v>500</v>
      </c>
      <c r="CB56" s="9">
        <f t="shared" si="18"/>
        <v>-23.7</v>
      </c>
      <c r="CC56" s="13">
        <f t="shared" si="47"/>
        <v>500</v>
      </c>
      <c r="CD56">
        <f t="shared" si="48"/>
        <v>5870</v>
      </c>
      <c r="CE56" s="13">
        <f t="shared" si="49"/>
        <v>500</v>
      </c>
      <c r="CF56" s="13"/>
      <c r="CV56" s="9">
        <f t="shared" si="55"/>
        <v>0.6537092421390428</v>
      </c>
      <c r="CW56" s="9">
        <f t="shared" si="50"/>
        <v>146.51548776135556</v>
      </c>
      <c r="CX56" s="9"/>
      <c r="CY56" s="9">
        <f t="shared" si="51"/>
        <v>0.6537092421390428</v>
      </c>
      <c r="CZ56" s="9">
        <f t="shared" si="52"/>
        <v>146.51548776135556</v>
      </c>
    </row>
    <row r="57" spans="1:104" x14ac:dyDescent="0.25">
      <c r="A57" s="8"/>
      <c r="B57" s="21" t="str">
        <f>'Eingabe Diagramme'!B50</f>
        <v xml:space="preserve">  485.0   6108   -7.3  -28.3     17   0.77     82     19  326.9  329.8  327.1</v>
      </c>
      <c r="C57" s="19"/>
      <c r="D57" s="19"/>
      <c r="E57" s="19"/>
      <c r="F57" s="19"/>
      <c r="G57" s="19"/>
      <c r="H57" s="19"/>
      <c r="I57" s="20"/>
      <c r="J57" s="19"/>
      <c r="K57" s="19"/>
      <c r="L57" s="11" t="str">
        <f t="shared" si="53"/>
        <v xml:space="preserve">  485.0</v>
      </c>
      <c r="M57" s="11" t="str">
        <f t="shared" si="1"/>
        <v xml:space="preserve"> 6108</v>
      </c>
      <c r="N57" s="11" t="str">
        <f t="shared" si="2"/>
        <v xml:space="preserve"> -7.3</v>
      </c>
      <c r="O57" s="11" t="str">
        <f t="shared" si="3"/>
        <v>-28.3</v>
      </c>
      <c r="P57" s="11" t="str">
        <f t="shared" si="4"/>
        <v xml:space="preserve"> 17</v>
      </c>
      <c r="Q57" s="11" t="str">
        <f t="shared" si="5"/>
        <v xml:space="preserve"> 0.77</v>
      </c>
      <c r="R57" s="11" t="str">
        <f t="shared" si="6"/>
        <v xml:space="preserve"> 82</v>
      </c>
      <c r="S57" s="11" t="str">
        <f t="shared" si="19"/>
        <v xml:space="preserve"> 19</v>
      </c>
      <c r="T57" s="11" t="str">
        <f t="shared" si="20"/>
        <v>326.9</v>
      </c>
      <c r="U57" s="11" t="str">
        <f t="shared" si="21"/>
        <v>329.8</v>
      </c>
      <c r="V57" s="11" t="str">
        <f t="shared" si="22"/>
        <v>327.1</v>
      </c>
      <c r="W57" s="11"/>
      <c r="Y57" s="13">
        <f t="shared" si="7"/>
        <v>485</v>
      </c>
      <c r="Z57" s="13">
        <f t="shared" si="8"/>
        <v>6108</v>
      </c>
      <c r="AA57" s="10">
        <f t="shared" si="9"/>
        <v>-7.3</v>
      </c>
      <c r="AB57" s="10">
        <f t="shared" si="10"/>
        <v>-28.3</v>
      </c>
      <c r="AC57" s="13">
        <f t="shared" si="11"/>
        <v>17</v>
      </c>
      <c r="AD57" s="9">
        <f t="shared" si="12"/>
        <v>0.77</v>
      </c>
      <c r="AE57" s="13">
        <f t="shared" si="13"/>
        <v>82</v>
      </c>
      <c r="AF57" s="13">
        <f t="shared" si="14"/>
        <v>19</v>
      </c>
      <c r="AG57" s="27">
        <f t="shared" si="23"/>
        <v>35.188000000000002</v>
      </c>
      <c r="AH57" s="29">
        <f t="shared" si="24"/>
        <v>326.89999999999998</v>
      </c>
      <c r="AI57" s="29">
        <f t="shared" si="25"/>
        <v>329.8</v>
      </c>
      <c r="AJ57" s="29">
        <f t="shared" si="26"/>
        <v>327.10000000000002</v>
      </c>
      <c r="AK57" s="27">
        <f t="shared" si="27"/>
        <v>53.75</v>
      </c>
      <c r="AL57" s="27">
        <f t="shared" si="28"/>
        <v>56.650000000000034</v>
      </c>
      <c r="AM57" s="27">
        <f t="shared" si="29"/>
        <v>53.950000000000045</v>
      </c>
      <c r="AP57" s="10">
        <f t="shared" si="30"/>
        <v>-28.3</v>
      </c>
      <c r="AQ57" s="13">
        <f t="shared" si="31"/>
        <v>6108</v>
      </c>
      <c r="AR57" s="10">
        <f t="shared" si="32"/>
        <v>-7.3</v>
      </c>
      <c r="AS57" s="13">
        <f t="shared" si="33"/>
        <v>6108</v>
      </c>
      <c r="AV57" s="13">
        <f t="shared" si="34"/>
        <v>485</v>
      </c>
      <c r="AW57" s="13">
        <f t="shared" si="35"/>
        <v>6108</v>
      </c>
      <c r="AY57" s="13">
        <f t="shared" si="36"/>
        <v>17</v>
      </c>
      <c r="AZ57" s="13">
        <f t="shared" si="37"/>
        <v>6108</v>
      </c>
      <c r="BA57" s="13"/>
      <c r="BB57" s="13"/>
      <c r="BC57" s="10">
        <f t="shared" si="38"/>
        <v>21</v>
      </c>
      <c r="BD57" s="10">
        <f t="shared" si="39"/>
        <v>21</v>
      </c>
      <c r="BE57" s="13">
        <f t="shared" si="40"/>
        <v>6108</v>
      </c>
      <c r="BG57" s="9">
        <f t="shared" si="41"/>
        <v>0.77</v>
      </c>
      <c r="BH57" s="13">
        <f t="shared" si="42"/>
        <v>6108</v>
      </c>
      <c r="BJ57" s="13">
        <f t="shared" si="43"/>
        <v>82</v>
      </c>
      <c r="BK57" s="13">
        <f t="shared" si="44"/>
        <v>6108</v>
      </c>
      <c r="BL57" s="13"/>
      <c r="BM57" s="13">
        <f t="shared" si="45"/>
        <v>35.188000000000002</v>
      </c>
      <c r="BN57" s="13">
        <f t="shared" si="46"/>
        <v>6108</v>
      </c>
      <c r="BO57" s="13"/>
      <c r="BP57" s="13"/>
      <c r="BQ57" s="10"/>
      <c r="BR57" s="10">
        <f t="shared" si="54"/>
        <v>9.1500000000000021</v>
      </c>
      <c r="BS57">
        <v>2900</v>
      </c>
      <c r="BT57" s="13"/>
      <c r="BV57" s="25">
        <f t="shared" si="15"/>
        <v>710.08899324285233</v>
      </c>
      <c r="BW57">
        <v>2900</v>
      </c>
      <c r="BX57" s="13"/>
      <c r="BZ57" s="10">
        <f t="shared" si="16"/>
        <v>-7.3</v>
      </c>
      <c r="CA57" s="13">
        <f t="shared" si="17"/>
        <v>485</v>
      </c>
      <c r="CB57" s="9">
        <f t="shared" si="18"/>
        <v>-28.3</v>
      </c>
      <c r="CC57" s="13">
        <f t="shared" si="47"/>
        <v>485</v>
      </c>
      <c r="CD57">
        <f t="shared" si="48"/>
        <v>6108</v>
      </c>
      <c r="CE57" s="13">
        <f t="shared" si="49"/>
        <v>485</v>
      </c>
      <c r="CF57" s="13"/>
      <c r="CV57" s="9">
        <f t="shared" si="55"/>
        <v>0.63552906804931175</v>
      </c>
      <c r="CW57" s="9">
        <f t="shared" si="50"/>
        <v>313.79784051874429</v>
      </c>
      <c r="CX57" s="9"/>
      <c r="CY57" s="9">
        <f t="shared" si="51"/>
        <v>0.63552906804931175</v>
      </c>
      <c r="CZ57" s="9">
        <f t="shared" si="52"/>
        <v>313.79784051874429</v>
      </c>
    </row>
    <row r="58" spans="1:104" x14ac:dyDescent="0.25">
      <c r="A58" s="8"/>
      <c r="B58" s="21" t="str">
        <f>'Eingabe Diagramme'!B51</f>
        <v xml:space="preserve">  433.0   6985  -11.9  -35.9     12   0.41     71     21  331.8  333.5  331.9</v>
      </c>
      <c r="C58" s="19"/>
      <c r="D58" s="19"/>
      <c r="E58" s="19"/>
      <c r="F58" s="19"/>
      <c r="G58" s="19"/>
      <c r="H58" s="19"/>
      <c r="I58" s="20"/>
      <c r="J58" s="19"/>
      <c r="K58" s="19"/>
      <c r="L58" s="11" t="str">
        <f t="shared" si="53"/>
        <v xml:space="preserve">  433.0</v>
      </c>
      <c r="M58" s="11" t="str">
        <f t="shared" si="1"/>
        <v xml:space="preserve"> 6985</v>
      </c>
      <c r="N58" s="11" t="str">
        <f t="shared" si="2"/>
        <v>-11.9</v>
      </c>
      <c r="O58" s="11" t="str">
        <f t="shared" si="3"/>
        <v>-35.9</v>
      </c>
      <c r="P58" s="11" t="str">
        <f t="shared" si="4"/>
        <v xml:space="preserve"> 12</v>
      </c>
      <c r="Q58" s="11" t="str">
        <f t="shared" si="5"/>
        <v xml:space="preserve"> 0.41</v>
      </c>
      <c r="R58" s="11" t="str">
        <f t="shared" si="6"/>
        <v xml:space="preserve"> 71</v>
      </c>
      <c r="S58" s="11" t="str">
        <f t="shared" si="19"/>
        <v xml:space="preserve"> 21</v>
      </c>
      <c r="T58" s="11" t="str">
        <f t="shared" si="20"/>
        <v>331.8</v>
      </c>
      <c r="U58" s="11" t="str">
        <f t="shared" si="21"/>
        <v>333.5</v>
      </c>
      <c r="V58" s="11" t="str">
        <f t="shared" si="22"/>
        <v>331.9</v>
      </c>
      <c r="W58" s="11"/>
      <c r="Y58" s="13">
        <f t="shared" si="7"/>
        <v>433</v>
      </c>
      <c r="Z58" s="13">
        <f t="shared" si="8"/>
        <v>6985</v>
      </c>
      <c r="AA58" s="10">
        <f t="shared" si="9"/>
        <v>-11.9</v>
      </c>
      <c r="AB58" s="10">
        <f t="shared" si="10"/>
        <v>-35.9</v>
      </c>
      <c r="AC58" s="13">
        <f t="shared" si="11"/>
        <v>12</v>
      </c>
      <c r="AD58" s="9">
        <f t="shared" si="12"/>
        <v>0.41</v>
      </c>
      <c r="AE58" s="13">
        <f t="shared" si="13"/>
        <v>71</v>
      </c>
      <c r="AF58" s="13">
        <f t="shared" si="14"/>
        <v>21</v>
      </c>
      <c r="AG58" s="27">
        <f t="shared" si="23"/>
        <v>38.892000000000003</v>
      </c>
      <c r="AH58" s="29">
        <f t="shared" si="24"/>
        <v>331.8</v>
      </c>
      <c r="AI58" s="29">
        <f t="shared" si="25"/>
        <v>333.5</v>
      </c>
      <c r="AJ58" s="29">
        <f t="shared" si="26"/>
        <v>331.9</v>
      </c>
      <c r="AK58" s="27">
        <f t="shared" si="27"/>
        <v>58.650000000000034</v>
      </c>
      <c r="AL58" s="27">
        <f t="shared" si="28"/>
        <v>60.350000000000023</v>
      </c>
      <c r="AM58" s="27">
        <f t="shared" si="29"/>
        <v>58.75</v>
      </c>
      <c r="AP58" s="10">
        <f t="shared" si="30"/>
        <v>-35.9</v>
      </c>
      <c r="AQ58" s="13">
        <f t="shared" si="31"/>
        <v>6985</v>
      </c>
      <c r="AR58" s="10">
        <f t="shared" si="32"/>
        <v>-11.9</v>
      </c>
      <c r="AS58" s="13">
        <f t="shared" si="33"/>
        <v>6985</v>
      </c>
      <c r="AV58" s="13">
        <f t="shared" si="34"/>
        <v>433</v>
      </c>
      <c r="AW58" s="13">
        <f t="shared" si="35"/>
        <v>6985</v>
      </c>
      <c r="AY58" s="13">
        <f t="shared" si="36"/>
        <v>12</v>
      </c>
      <c r="AZ58" s="13">
        <f t="shared" si="37"/>
        <v>6985</v>
      </c>
      <c r="BA58" s="13"/>
      <c r="BB58" s="13"/>
      <c r="BC58" s="10">
        <f t="shared" si="38"/>
        <v>24</v>
      </c>
      <c r="BD58" s="10">
        <f t="shared" si="39"/>
        <v>24</v>
      </c>
      <c r="BE58" s="13">
        <f t="shared" si="40"/>
        <v>6985</v>
      </c>
      <c r="BG58" s="9">
        <f t="shared" si="41"/>
        <v>0.41</v>
      </c>
      <c r="BH58" s="13">
        <f t="shared" si="42"/>
        <v>6985</v>
      </c>
      <c r="BJ58" s="13">
        <f t="shared" si="43"/>
        <v>71</v>
      </c>
      <c r="BK58" s="13">
        <f t="shared" si="44"/>
        <v>6985</v>
      </c>
      <c r="BL58" s="13"/>
      <c r="BM58" s="13">
        <f t="shared" si="45"/>
        <v>38.892000000000003</v>
      </c>
      <c r="BN58" s="13">
        <f t="shared" si="46"/>
        <v>6985</v>
      </c>
      <c r="BO58" s="13"/>
      <c r="BP58" s="13"/>
      <c r="BQ58" s="10"/>
      <c r="BR58" s="10">
        <f t="shared" si="54"/>
        <v>8.5</v>
      </c>
      <c r="BS58">
        <v>3000</v>
      </c>
      <c r="BT58" s="13"/>
      <c r="BV58" s="25">
        <f t="shared" si="15"/>
        <v>701.1284882178669</v>
      </c>
      <c r="BW58">
        <v>3000</v>
      </c>
      <c r="BX58" s="13"/>
      <c r="BZ58" s="10">
        <f t="shared" si="16"/>
        <v>-11.9</v>
      </c>
      <c r="CA58" s="13">
        <f t="shared" si="17"/>
        <v>433</v>
      </c>
      <c r="CB58" s="9">
        <f t="shared" si="18"/>
        <v>-35.9</v>
      </c>
      <c r="CC58" s="13">
        <f t="shared" si="47"/>
        <v>433</v>
      </c>
      <c r="CD58">
        <f t="shared" si="48"/>
        <v>6985</v>
      </c>
      <c r="CE58" s="13">
        <f t="shared" si="49"/>
        <v>433</v>
      </c>
      <c r="CF58" s="13"/>
      <c r="CV58" s="9">
        <f t="shared" si="55"/>
        <v>0.57738027434963801</v>
      </c>
      <c r="CW58" s="9">
        <f t="shared" si="50"/>
        <v>74.746002857358306</v>
      </c>
      <c r="CX58" s="9"/>
      <c r="CY58" s="9">
        <f t="shared" si="51"/>
        <v>0.57738027434963801</v>
      </c>
      <c r="CZ58" s="9">
        <f t="shared" si="52"/>
        <v>74.746002857358306</v>
      </c>
    </row>
    <row r="59" spans="1:104" x14ac:dyDescent="0.25">
      <c r="A59" s="8"/>
      <c r="B59" s="21" t="str">
        <f>'Eingabe Diagramme'!B52</f>
        <v xml:space="preserve">  409.0   7420  -13.8  -43.5      6   0.20     65     22  334.9  335.7  334.9</v>
      </c>
      <c r="C59" s="19"/>
      <c r="D59" s="19"/>
      <c r="E59" s="19"/>
      <c r="F59" s="19"/>
      <c r="G59" s="19"/>
      <c r="H59" s="19"/>
      <c r="I59" s="20"/>
      <c r="J59" s="19"/>
      <c r="K59" s="19"/>
      <c r="L59" s="11" t="str">
        <f t="shared" si="53"/>
        <v xml:space="preserve">  409.0</v>
      </c>
      <c r="M59" s="11" t="str">
        <f t="shared" si="1"/>
        <v xml:space="preserve"> 7420</v>
      </c>
      <c r="N59" s="11" t="str">
        <f t="shared" si="2"/>
        <v>-13.8</v>
      </c>
      <c r="O59" s="11" t="str">
        <f t="shared" si="3"/>
        <v>-43.5</v>
      </c>
      <c r="P59" s="11" t="str">
        <f t="shared" si="4"/>
        <v xml:space="preserve">  6</v>
      </c>
      <c r="Q59" s="11" t="str">
        <f t="shared" si="5"/>
        <v xml:space="preserve"> 0.20</v>
      </c>
      <c r="R59" s="11" t="str">
        <f t="shared" si="6"/>
        <v xml:space="preserve"> 65</v>
      </c>
      <c r="S59" s="11" t="str">
        <f t="shared" si="19"/>
        <v xml:space="preserve"> 22</v>
      </c>
      <c r="T59" s="11" t="str">
        <f t="shared" si="20"/>
        <v>334.9</v>
      </c>
      <c r="U59" s="11" t="str">
        <f t="shared" si="21"/>
        <v>335.7</v>
      </c>
      <c r="V59" s="11" t="str">
        <f t="shared" si="22"/>
        <v>334.9</v>
      </c>
      <c r="W59" s="11"/>
      <c r="Y59" s="13">
        <f t="shared" si="7"/>
        <v>409</v>
      </c>
      <c r="Z59" s="13">
        <f t="shared" si="8"/>
        <v>7420</v>
      </c>
      <c r="AA59" s="10">
        <f t="shared" si="9"/>
        <v>-13.8</v>
      </c>
      <c r="AB59" s="10">
        <f t="shared" si="10"/>
        <v>-43.5</v>
      </c>
      <c r="AC59" s="13">
        <f t="shared" si="11"/>
        <v>6</v>
      </c>
      <c r="AD59" s="9">
        <f t="shared" si="12"/>
        <v>0.2</v>
      </c>
      <c r="AE59" s="13">
        <f t="shared" si="13"/>
        <v>65</v>
      </c>
      <c r="AF59" s="13">
        <f t="shared" si="14"/>
        <v>22</v>
      </c>
      <c r="AG59" s="27">
        <f t="shared" si="23"/>
        <v>40.744</v>
      </c>
      <c r="AH59" s="29">
        <f t="shared" si="24"/>
        <v>334.9</v>
      </c>
      <c r="AI59" s="29">
        <f t="shared" si="25"/>
        <v>335.7</v>
      </c>
      <c r="AJ59" s="29">
        <f t="shared" si="26"/>
        <v>334.9</v>
      </c>
      <c r="AK59" s="27">
        <f t="shared" si="27"/>
        <v>61.75</v>
      </c>
      <c r="AL59" s="27">
        <f t="shared" si="28"/>
        <v>62.550000000000011</v>
      </c>
      <c r="AM59" s="27">
        <f t="shared" si="29"/>
        <v>61.75</v>
      </c>
      <c r="AP59" s="10">
        <f t="shared" si="30"/>
        <v>-43.5</v>
      </c>
      <c r="AQ59" s="13">
        <f t="shared" si="31"/>
        <v>7420</v>
      </c>
      <c r="AR59" s="10">
        <f t="shared" si="32"/>
        <v>-13.8</v>
      </c>
      <c r="AS59" s="13">
        <f t="shared" si="33"/>
        <v>7420</v>
      </c>
      <c r="AV59" s="13">
        <f t="shared" si="34"/>
        <v>409</v>
      </c>
      <c r="AW59" s="13">
        <f t="shared" si="35"/>
        <v>7420</v>
      </c>
      <c r="AY59" s="13">
        <f t="shared" si="36"/>
        <v>6</v>
      </c>
      <c r="AZ59" s="13">
        <f t="shared" si="37"/>
        <v>7420</v>
      </c>
      <c r="BA59" s="13"/>
      <c r="BB59" s="13"/>
      <c r="BC59" s="10">
        <f t="shared" si="38"/>
        <v>29.7</v>
      </c>
      <c r="BD59" s="10">
        <f t="shared" si="39"/>
        <v>29.7</v>
      </c>
      <c r="BE59" s="13">
        <f t="shared" si="40"/>
        <v>7420</v>
      </c>
      <c r="BG59" s="9">
        <f t="shared" si="41"/>
        <v>0.2</v>
      </c>
      <c r="BH59" s="13">
        <f t="shared" si="42"/>
        <v>7420</v>
      </c>
      <c r="BJ59" s="13">
        <f t="shared" si="43"/>
        <v>65</v>
      </c>
      <c r="BK59" s="13">
        <f t="shared" si="44"/>
        <v>7420</v>
      </c>
      <c r="BL59" s="13"/>
      <c r="BM59" s="13">
        <f t="shared" si="45"/>
        <v>40.744</v>
      </c>
      <c r="BN59" s="13">
        <f t="shared" si="46"/>
        <v>7420</v>
      </c>
      <c r="BO59" s="13"/>
      <c r="BP59" s="13"/>
      <c r="BQ59" s="10"/>
      <c r="BR59" s="10">
        <f t="shared" si="54"/>
        <v>7.8500000000000014</v>
      </c>
      <c r="BS59">
        <v>3100</v>
      </c>
      <c r="BT59" s="13"/>
      <c r="BV59" s="25">
        <f t="shared" si="15"/>
        <v>692.25975821060422</v>
      </c>
      <c r="BW59">
        <v>3100</v>
      </c>
      <c r="BX59" s="13"/>
      <c r="BZ59" s="10">
        <f t="shared" si="16"/>
        <v>-13.8</v>
      </c>
      <c r="CA59" s="13">
        <f t="shared" si="17"/>
        <v>409</v>
      </c>
      <c r="CB59" s="9">
        <f t="shared" si="18"/>
        <v>-43.5</v>
      </c>
      <c r="CC59" s="13">
        <f t="shared" si="47"/>
        <v>409</v>
      </c>
      <c r="CD59">
        <f t="shared" si="48"/>
        <v>7420</v>
      </c>
      <c r="CE59" s="13">
        <f t="shared" si="49"/>
        <v>409</v>
      </c>
      <c r="CF59" s="13"/>
      <c r="CV59" s="9">
        <f t="shared" si="55"/>
        <v>0.54937311336256578</v>
      </c>
      <c r="CW59" s="9">
        <f t="shared" si="50"/>
        <v>16.185657317438977</v>
      </c>
      <c r="CX59" s="9"/>
      <c r="CY59" s="9">
        <f t="shared" si="51"/>
        <v>0.54937311336256578</v>
      </c>
      <c r="CZ59" s="9">
        <f t="shared" si="52"/>
        <v>16.185657317438977</v>
      </c>
    </row>
    <row r="60" spans="1:104" x14ac:dyDescent="0.25">
      <c r="A60" s="8"/>
      <c r="B60" s="21" t="str">
        <f>'Eingabe Diagramme'!B53</f>
        <v xml:space="preserve">  400.0   7590  -14.5  -46.5      5   0.15     65     23  336.1  336.7  336.1</v>
      </c>
      <c r="C60" s="19"/>
      <c r="D60" s="19"/>
      <c r="E60" s="19"/>
      <c r="F60" s="19"/>
      <c r="G60" s="19"/>
      <c r="H60" s="19"/>
      <c r="I60" s="20"/>
      <c r="J60" s="19"/>
      <c r="K60" s="19"/>
      <c r="L60" s="11" t="str">
        <f t="shared" si="53"/>
        <v xml:space="preserve">  400.0</v>
      </c>
      <c r="M60" s="11" t="str">
        <f t="shared" si="1"/>
        <v xml:space="preserve"> 7590</v>
      </c>
      <c r="N60" s="11" t="str">
        <f t="shared" si="2"/>
        <v>-14.5</v>
      </c>
      <c r="O60" s="11" t="str">
        <f t="shared" si="3"/>
        <v>-46.5</v>
      </c>
      <c r="P60" s="11" t="str">
        <f t="shared" si="4"/>
        <v xml:space="preserve">  5</v>
      </c>
      <c r="Q60" s="11" t="str">
        <f t="shared" si="5"/>
        <v xml:space="preserve"> 0.15</v>
      </c>
      <c r="R60" s="11" t="str">
        <f t="shared" si="6"/>
        <v xml:space="preserve"> 65</v>
      </c>
      <c r="S60" s="11" t="str">
        <f t="shared" si="19"/>
        <v xml:space="preserve"> 23</v>
      </c>
      <c r="T60" s="11" t="str">
        <f t="shared" si="20"/>
        <v>336.1</v>
      </c>
      <c r="U60" s="11" t="str">
        <f t="shared" si="21"/>
        <v>336.7</v>
      </c>
      <c r="V60" s="11" t="str">
        <f t="shared" si="22"/>
        <v>336.1</v>
      </c>
      <c r="W60" s="11"/>
      <c r="Y60" s="13">
        <f t="shared" ref="Y60:Y91" si="56">SUBSTITUTE(L60,".",",")*1</f>
        <v>400</v>
      </c>
      <c r="Z60" s="13">
        <f t="shared" ref="Z60:Z91" si="57">SUBSTITUTE(M60,".",",")*1</f>
        <v>7590</v>
      </c>
      <c r="AA60" s="10">
        <f t="shared" ref="AA60:AA91" si="58">SUBSTITUTE(N60,".",",")*1</f>
        <v>-14.5</v>
      </c>
      <c r="AB60" s="10">
        <f t="shared" ref="AB60:AB91" si="59">SUBSTITUTE(O60,".",",")*1</f>
        <v>-46.5</v>
      </c>
      <c r="AC60" s="13">
        <f t="shared" ref="AC60:AC91" si="60">SUBSTITUTE(P60,".",",")*1</f>
        <v>5</v>
      </c>
      <c r="AD60" s="9">
        <f t="shared" ref="AD60:AD91" si="61">SUBSTITUTE(Q60,".",",")*1</f>
        <v>0.15</v>
      </c>
      <c r="AE60" s="13">
        <f t="shared" ref="AE60:AE91" si="62">SUBSTITUTE(R60,".",",")*1</f>
        <v>65</v>
      </c>
      <c r="AF60" s="13">
        <f t="shared" ref="AF60:AF91" si="63">SUBSTITUTE(S60,".",",")*1</f>
        <v>23</v>
      </c>
      <c r="AG60" s="27">
        <f t="shared" si="23"/>
        <v>42.596000000000004</v>
      </c>
      <c r="AH60" s="29">
        <f t="shared" si="24"/>
        <v>336.1</v>
      </c>
      <c r="AI60" s="29">
        <f t="shared" si="25"/>
        <v>336.7</v>
      </c>
      <c r="AJ60" s="29">
        <f t="shared" si="26"/>
        <v>336.1</v>
      </c>
      <c r="AK60" s="27">
        <f t="shared" si="27"/>
        <v>62.950000000000045</v>
      </c>
      <c r="AL60" s="27">
        <f t="shared" si="28"/>
        <v>63.550000000000011</v>
      </c>
      <c r="AM60" s="27">
        <f t="shared" si="29"/>
        <v>62.950000000000045</v>
      </c>
      <c r="AP60" s="10">
        <f t="shared" si="30"/>
        <v>-46.5</v>
      </c>
      <c r="AQ60" s="13">
        <f t="shared" si="31"/>
        <v>7590</v>
      </c>
      <c r="AR60" s="10">
        <f t="shared" si="32"/>
        <v>-14.5</v>
      </c>
      <c r="AS60" s="13">
        <f t="shared" si="33"/>
        <v>7590</v>
      </c>
      <c r="AV60" s="13">
        <f t="shared" si="34"/>
        <v>400</v>
      </c>
      <c r="AW60" s="13">
        <f t="shared" si="35"/>
        <v>7590</v>
      </c>
      <c r="AY60" s="13">
        <f t="shared" si="36"/>
        <v>5</v>
      </c>
      <c r="AZ60" s="13">
        <f t="shared" si="37"/>
        <v>7590</v>
      </c>
      <c r="BA60" s="13"/>
      <c r="BB60" s="13"/>
      <c r="BC60" s="10">
        <f t="shared" si="38"/>
        <v>32</v>
      </c>
      <c r="BD60" s="10">
        <f t="shared" si="39"/>
        <v>32</v>
      </c>
      <c r="BE60" s="13">
        <f t="shared" si="40"/>
        <v>7590</v>
      </c>
      <c r="BG60" s="9">
        <f t="shared" si="41"/>
        <v>0.15</v>
      </c>
      <c r="BH60" s="13">
        <f t="shared" si="42"/>
        <v>7590</v>
      </c>
      <c r="BJ60" s="13">
        <f t="shared" si="43"/>
        <v>65</v>
      </c>
      <c r="BK60" s="13">
        <f t="shared" si="44"/>
        <v>7590</v>
      </c>
      <c r="BL60" s="13"/>
      <c r="BM60" s="13">
        <f t="shared" si="45"/>
        <v>42.596000000000004</v>
      </c>
      <c r="BN60" s="13">
        <f t="shared" si="46"/>
        <v>7590</v>
      </c>
      <c r="BO60" s="13"/>
      <c r="BP60" s="13"/>
      <c r="BQ60" s="10"/>
      <c r="BR60" s="10">
        <f t="shared" si="54"/>
        <v>7.1999999999999993</v>
      </c>
      <c r="BS60">
        <v>3200</v>
      </c>
      <c r="BT60" s="13"/>
      <c r="BV60" s="25">
        <f t="shared" ref="BV60:BV91" si="64">1013.25*(1-(0.0065*BW60/288.15))^5.255</f>
        <v>683.48208241927023</v>
      </c>
      <c r="BW60">
        <v>3200</v>
      </c>
      <c r="BX60" s="13"/>
      <c r="BZ60" s="10">
        <f t="shared" ref="BZ60:BZ91" si="65">IFERROR(AA60,-999)</f>
        <v>-14.5</v>
      </c>
      <c r="CA60" s="13">
        <f t="shared" ref="CA60:CA91" si="66">IFERROR(Y60,-999)</f>
        <v>400</v>
      </c>
      <c r="CB60" s="9">
        <f t="shared" ref="CB60:CB91" si="67">IFERROR(AB60,-999)</f>
        <v>-46.5</v>
      </c>
      <c r="CC60" s="13">
        <f t="shared" ref="CC60:CC91" si="68">IFERROR(Y60,-999)</f>
        <v>400</v>
      </c>
      <c r="CD60">
        <f t="shared" si="48"/>
        <v>7590</v>
      </c>
      <c r="CE60" s="13">
        <f t="shared" si="49"/>
        <v>400</v>
      </c>
      <c r="CF60" s="13"/>
      <c r="CV60" s="9">
        <f t="shared" si="55"/>
        <v>0.5387383029358529</v>
      </c>
      <c r="CW60" s="9">
        <f t="shared" si="50"/>
        <v>29.183428818861874</v>
      </c>
      <c r="CX60" s="9"/>
      <c r="CY60" s="9">
        <f t="shared" si="51"/>
        <v>0.5387383029358529</v>
      </c>
      <c r="CZ60" s="9">
        <f t="shared" si="52"/>
        <v>29.183428818861874</v>
      </c>
    </row>
    <row r="61" spans="1:104" x14ac:dyDescent="0.25">
      <c r="A61" s="8"/>
      <c r="B61" s="21" t="str">
        <f>'Eingabe Diagramme'!B54</f>
        <v xml:space="preserve">  377.0   8034  -17.1  -50.1      4   0.10     70     23  338.4  338.8  338.4</v>
      </c>
      <c r="C61" s="19"/>
      <c r="D61" s="19"/>
      <c r="E61" s="19"/>
      <c r="F61" s="19"/>
      <c r="G61" s="19"/>
      <c r="H61" s="19"/>
      <c r="I61" s="20"/>
      <c r="J61" s="19"/>
      <c r="K61" s="19"/>
      <c r="L61" s="11" t="str">
        <f t="shared" si="53"/>
        <v xml:space="preserve">  377.0</v>
      </c>
      <c r="M61" s="11" t="str">
        <f t="shared" si="1"/>
        <v xml:space="preserve"> 8034</v>
      </c>
      <c r="N61" s="11" t="str">
        <f t="shared" si="2"/>
        <v>-17.1</v>
      </c>
      <c r="O61" s="11" t="str">
        <f t="shared" si="3"/>
        <v>-50.1</v>
      </c>
      <c r="P61" s="11" t="str">
        <f t="shared" si="4"/>
        <v xml:space="preserve">  4</v>
      </c>
      <c r="Q61" s="11" t="str">
        <f t="shared" si="5"/>
        <v xml:space="preserve"> 0.10</v>
      </c>
      <c r="R61" s="11" t="str">
        <f t="shared" si="6"/>
        <v xml:space="preserve"> 70</v>
      </c>
      <c r="S61" s="11" t="str">
        <f t="shared" si="19"/>
        <v xml:space="preserve"> 23</v>
      </c>
      <c r="T61" s="11" t="str">
        <f t="shared" si="20"/>
        <v>338.4</v>
      </c>
      <c r="U61" s="11" t="str">
        <f t="shared" si="21"/>
        <v>338.8</v>
      </c>
      <c r="V61" s="11" t="str">
        <f t="shared" si="22"/>
        <v>338.4</v>
      </c>
      <c r="W61" s="11"/>
      <c r="Y61" s="13">
        <f t="shared" si="56"/>
        <v>377</v>
      </c>
      <c r="Z61" s="13">
        <f t="shared" si="57"/>
        <v>8034</v>
      </c>
      <c r="AA61" s="10">
        <f t="shared" si="58"/>
        <v>-17.100000000000001</v>
      </c>
      <c r="AB61" s="10">
        <f t="shared" si="59"/>
        <v>-50.1</v>
      </c>
      <c r="AC61" s="13">
        <f t="shared" si="60"/>
        <v>4</v>
      </c>
      <c r="AD61" s="9">
        <f t="shared" si="61"/>
        <v>0.1</v>
      </c>
      <c r="AE61" s="13">
        <f t="shared" si="62"/>
        <v>70</v>
      </c>
      <c r="AF61" s="13">
        <f t="shared" si="63"/>
        <v>23</v>
      </c>
      <c r="AG61" s="27">
        <f t="shared" si="23"/>
        <v>42.596000000000004</v>
      </c>
      <c r="AH61" s="29">
        <f t="shared" si="24"/>
        <v>338.4</v>
      </c>
      <c r="AI61" s="29">
        <f t="shared" si="25"/>
        <v>338.8</v>
      </c>
      <c r="AJ61" s="29">
        <f t="shared" si="26"/>
        <v>338.4</v>
      </c>
      <c r="AK61" s="27">
        <f t="shared" si="27"/>
        <v>65.25</v>
      </c>
      <c r="AL61" s="27">
        <f t="shared" si="28"/>
        <v>65.650000000000034</v>
      </c>
      <c r="AM61" s="27">
        <f t="shared" si="29"/>
        <v>65.25</v>
      </c>
      <c r="AP61" s="10">
        <f t="shared" si="30"/>
        <v>-50.1</v>
      </c>
      <c r="AQ61" s="13">
        <f t="shared" si="31"/>
        <v>8034</v>
      </c>
      <c r="AR61" s="10">
        <f t="shared" si="32"/>
        <v>-17.100000000000001</v>
      </c>
      <c r="AS61" s="13">
        <f t="shared" si="33"/>
        <v>8034</v>
      </c>
      <c r="AV61" s="13">
        <f t="shared" si="34"/>
        <v>377</v>
      </c>
      <c r="AW61" s="13">
        <f t="shared" si="35"/>
        <v>8034</v>
      </c>
      <c r="AY61" s="13">
        <f t="shared" si="36"/>
        <v>4</v>
      </c>
      <c r="AZ61" s="13">
        <f t="shared" si="37"/>
        <v>8034</v>
      </c>
      <c r="BA61" s="13"/>
      <c r="BB61" s="13"/>
      <c r="BC61" s="10">
        <f t="shared" si="38"/>
        <v>33</v>
      </c>
      <c r="BD61" s="10">
        <f t="shared" si="39"/>
        <v>33</v>
      </c>
      <c r="BE61" s="13">
        <f t="shared" si="40"/>
        <v>8034</v>
      </c>
      <c r="BG61" s="9">
        <f t="shared" si="41"/>
        <v>0.1</v>
      </c>
      <c r="BH61" s="13">
        <f t="shared" si="42"/>
        <v>8034</v>
      </c>
      <c r="BJ61" s="13">
        <f t="shared" si="43"/>
        <v>70</v>
      </c>
      <c r="BK61" s="13">
        <f t="shared" si="44"/>
        <v>8034</v>
      </c>
      <c r="BL61" s="13"/>
      <c r="BM61" s="13">
        <f t="shared" si="45"/>
        <v>42.596000000000004</v>
      </c>
      <c r="BN61" s="13">
        <f t="shared" si="46"/>
        <v>8034</v>
      </c>
      <c r="BO61" s="13"/>
      <c r="BP61" s="13"/>
      <c r="BQ61" s="10"/>
      <c r="BR61" s="10">
        <f t="shared" si="54"/>
        <v>6.5500000000000007</v>
      </c>
      <c r="BS61">
        <v>3300</v>
      </c>
      <c r="BT61" s="13"/>
      <c r="BV61" s="25">
        <f t="shared" si="64"/>
        <v>674.7947439735251</v>
      </c>
      <c r="BW61">
        <v>3300</v>
      </c>
      <c r="BX61" s="13"/>
      <c r="BZ61" s="10">
        <f t="shared" si="65"/>
        <v>-17.100000000000001</v>
      </c>
      <c r="CA61" s="13">
        <f t="shared" si="66"/>
        <v>377</v>
      </c>
      <c r="CB61" s="9">
        <f t="shared" si="67"/>
        <v>-50.1</v>
      </c>
      <c r="CC61" s="13">
        <f t="shared" si="68"/>
        <v>377</v>
      </c>
      <c r="CD61">
        <f t="shared" si="48"/>
        <v>8034</v>
      </c>
      <c r="CE61" s="13">
        <f t="shared" si="49"/>
        <v>377</v>
      </c>
      <c r="CF61" s="13"/>
      <c r="CV61" s="9">
        <f t="shared" si="55"/>
        <v>0.51291678963574605</v>
      </c>
      <c r="CW61" s="9">
        <f t="shared" si="50"/>
        <v>19.183922104937309</v>
      </c>
      <c r="CX61" s="9"/>
      <c r="CY61" s="9">
        <f t="shared" si="51"/>
        <v>0.51291678963574605</v>
      </c>
      <c r="CZ61" s="9">
        <f t="shared" si="52"/>
        <v>19.183922104937309</v>
      </c>
    </row>
    <row r="62" spans="1:104" x14ac:dyDescent="0.25">
      <c r="A62" s="8"/>
      <c r="B62" s="21" t="str">
        <f>'Eingabe Diagramme'!B55</f>
        <v xml:space="preserve">  355.0   8485  -19.7  -53.7      3   0.07     85     28  340.7  341.0  340.7</v>
      </c>
      <c r="C62" s="19"/>
      <c r="D62" s="19"/>
      <c r="E62" s="19"/>
      <c r="F62" s="19"/>
      <c r="G62" s="19"/>
      <c r="H62" s="19"/>
      <c r="I62" s="20"/>
      <c r="J62" s="19"/>
      <c r="K62" s="19"/>
      <c r="L62" s="11" t="str">
        <f t="shared" si="53"/>
        <v xml:space="preserve">  355.0</v>
      </c>
      <c r="M62" s="11" t="str">
        <f t="shared" si="1"/>
        <v xml:space="preserve"> 8485</v>
      </c>
      <c r="N62" s="11" t="str">
        <f t="shared" si="2"/>
        <v>-19.7</v>
      </c>
      <c r="O62" s="11" t="str">
        <f t="shared" si="3"/>
        <v>-53.7</v>
      </c>
      <c r="P62" s="11" t="str">
        <f t="shared" si="4"/>
        <v xml:space="preserve">  3</v>
      </c>
      <c r="Q62" s="11" t="str">
        <f t="shared" si="5"/>
        <v xml:space="preserve"> 0.07</v>
      </c>
      <c r="R62" s="11" t="str">
        <f t="shared" si="6"/>
        <v xml:space="preserve"> 85</v>
      </c>
      <c r="S62" s="11" t="str">
        <f t="shared" si="19"/>
        <v xml:space="preserve"> 28</v>
      </c>
      <c r="T62" s="11" t="str">
        <f t="shared" si="20"/>
        <v>340.7</v>
      </c>
      <c r="U62" s="11" t="str">
        <f t="shared" si="21"/>
        <v>341.0</v>
      </c>
      <c r="V62" s="11" t="str">
        <f t="shared" si="22"/>
        <v>340.7</v>
      </c>
      <c r="W62" s="11"/>
      <c r="Y62" s="13">
        <f t="shared" si="56"/>
        <v>355</v>
      </c>
      <c r="Z62" s="13">
        <f t="shared" si="57"/>
        <v>8485</v>
      </c>
      <c r="AA62" s="10">
        <f t="shared" si="58"/>
        <v>-19.7</v>
      </c>
      <c r="AB62" s="10">
        <f t="shared" si="59"/>
        <v>-53.7</v>
      </c>
      <c r="AC62" s="13">
        <f t="shared" si="60"/>
        <v>3</v>
      </c>
      <c r="AD62" s="9">
        <f t="shared" si="61"/>
        <v>7.0000000000000007E-2</v>
      </c>
      <c r="AE62" s="13">
        <f t="shared" si="62"/>
        <v>85</v>
      </c>
      <c r="AF62" s="13">
        <f t="shared" si="63"/>
        <v>28</v>
      </c>
      <c r="AG62" s="27">
        <f t="shared" si="23"/>
        <v>51.856000000000002</v>
      </c>
      <c r="AH62" s="29">
        <f t="shared" si="24"/>
        <v>340.7</v>
      </c>
      <c r="AI62" s="29">
        <f t="shared" si="25"/>
        <v>341</v>
      </c>
      <c r="AJ62" s="29">
        <f t="shared" si="26"/>
        <v>340.7</v>
      </c>
      <c r="AK62" s="27">
        <f t="shared" si="27"/>
        <v>67.550000000000011</v>
      </c>
      <c r="AL62" s="27">
        <f t="shared" si="28"/>
        <v>67.850000000000023</v>
      </c>
      <c r="AM62" s="27">
        <f t="shared" si="29"/>
        <v>67.550000000000011</v>
      </c>
      <c r="AP62" s="10">
        <f t="shared" si="30"/>
        <v>-53.7</v>
      </c>
      <c r="AQ62" s="13">
        <f t="shared" si="31"/>
        <v>8485</v>
      </c>
      <c r="AR62" s="10">
        <f t="shared" si="32"/>
        <v>-19.7</v>
      </c>
      <c r="AS62" s="13">
        <f t="shared" si="33"/>
        <v>8485</v>
      </c>
      <c r="AV62" s="13">
        <f t="shared" si="34"/>
        <v>355</v>
      </c>
      <c r="AW62" s="13">
        <f t="shared" si="35"/>
        <v>8485</v>
      </c>
      <c r="AY62" s="13">
        <f t="shared" si="36"/>
        <v>3</v>
      </c>
      <c r="AZ62" s="13">
        <f t="shared" si="37"/>
        <v>8485</v>
      </c>
      <c r="BA62" s="13"/>
      <c r="BB62" s="13"/>
      <c r="BC62" s="10">
        <f t="shared" si="38"/>
        <v>34</v>
      </c>
      <c r="BD62" s="10">
        <f t="shared" si="39"/>
        <v>34</v>
      </c>
      <c r="BE62" s="13">
        <f t="shared" si="40"/>
        <v>8485</v>
      </c>
      <c r="BG62" s="9">
        <f t="shared" si="41"/>
        <v>7.0000000000000007E-2</v>
      </c>
      <c r="BH62" s="13">
        <f t="shared" si="42"/>
        <v>8485</v>
      </c>
      <c r="BJ62" s="13">
        <f t="shared" si="43"/>
        <v>85</v>
      </c>
      <c r="BK62" s="13">
        <f t="shared" si="44"/>
        <v>8485</v>
      </c>
      <c r="BL62" s="13"/>
      <c r="BM62" s="13">
        <f t="shared" si="45"/>
        <v>51.856000000000002</v>
      </c>
      <c r="BN62" s="13">
        <f t="shared" si="46"/>
        <v>8485</v>
      </c>
      <c r="BO62" s="13"/>
      <c r="BP62" s="13"/>
      <c r="BQ62" s="10"/>
      <c r="BR62" s="10">
        <f t="shared" si="54"/>
        <v>5.9000000000000021</v>
      </c>
      <c r="BS62">
        <v>3400</v>
      </c>
      <c r="BT62" s="13"/>
      <c r="BV62" s="25">
        <f t="shared" si="64"/>
        <v>666.1970299225211</v>
      </c>
      <c r="BW62">
        <v>3400</v>
      </c>
      <c r="BX62" s="13"/>
      <c r="BZ62" s="10">
        <f t="shared" si="65"/>
        <v>-19.7</v>
      </c>
      <c r="CA62" s="13">
        <f t="shared" si="66"/>
        <v>355</v>
      </c>
      <c r="CB62" s="9">
        <f t="shared" si="67"/>
        <v>-53.7</v>
      </c>
      <c r="CC62" s="13">
        <f t="shared" si="68"/>
        <v>355</v>
      </c>
      <c r="CD62">
        <f t="shared" si="48"/>
        <v>8485</v>
      </c>
      <c r="CE62" s="13">
        <f t="shared" si="49"/>
        <v>355</v>
      </c>
      <c r="CF62" s="13"/>
      <c r="CV62" s="9">
        <f t="shared" si="55"/>
        <v>0.48793997858845156</v>
      </c>
      <c r="CW62" s="9">
        <f t="shared" si="50"/>
        <v>17.071128343344633</v>
      </c>
      <c r="CX62" s="9"/>
      <c r="CY62" s="9">
        <f t="shared" si="51"/>
        <v>0.48793997858845156</v>
      </c>
      <c r="CZ62" s="9">
        <f t="shared" si="52"/>
        <v>17.071128343344633</v>
      </c>
    </row>
    <row r="63" spans="1:104" x14ac:dyDescent="0.25">
      <c r="A63" s="8"/>
      <c r="B63" s="21" t="str">
        <f>'Eingabe Diagramme'!B56</f>
        <v xml:space="preserve">  329.0   9039  -24.1  -55.3      4   0.06    105     35  342.1  342.4  342.1</v>
      </c>
      <c r="C63" s="19"/>
      <c r="D63" s="19"/>
      <c r="E63" s="19"/>
      <c r="F63" s="19"/>
      <c r="G63" s="19"/>
      <c r="H63" s="19"/>
      <c r="I63" s="20"/>
      <c r="J63" s="19"/>
      <c r="K63" s="19"/>
      <c r="L63" s="11" t="str">
        <f t="shared" si="53"/>
        <v xml:space="preserve">  329.0</v>
      </c>
      <c r="M63" s="11" t="str">
        <f t="shared" si="1"/>
        <v xml:space="preserve"> 9039</v>
      </c>
      <c r="N63" s="11" t="str">
        <f t="shared" si="2"/>
        <v>-24.1</v>
      </c>
      <c r="O63" s="11" t="str">
        <f t="shared" si="3"/>
        <v>-55.3</v>
      </c>
      <c r="P63" s="11" t="str">
        <f t="shared" si="4"/>
        <v xml:space="preserve">  4</v>
      </c>
      <c r="Q63" s="11" t="str">
        <f t="shared" si="5"/>
        <v xml:space="preserve"> 0.06</v>
      </c>
      <c r="R63" s="11" t="str">
        <f t="shared" si="6"/>
        <v>105</v>
      </c>
      <c r="S63" s="11" t="str">
        <f t="shared" si="19"/>
        <v xml:space="preserve"> 35</v>
      </c>
      <c r="T63" s="11" t="str">
        <f t="shared" si="20"/>
        <v>342.1</v>
      </c>
      <c r="U63" s="11" t="str">
        <f t="shared" si="21"/>
        <v>342.4</v>
      </c>
      <c r="V63" s="11" t="str">
        <f t="shared" si="22"/>
        <v>342.1</v>
      </c>
      <c r="W63" s="11"/>
      <c r="Y63" s="13">
        <f t="shared" si="56"/>
        <v>329</v>
      </c>
      <c r="Z63" s="13">
        <f t="shared" si="57"/>
        <v>9039</v>
      </c>
      <c r="AA63" s="10">
        <f t="shared" si="58"/>
        <v>-24.1</v>
      </c>
      <c r="AB63" s="10">
        <f t="shared" si="59"/>
        <v>-55.3</v>
      </c>
      <c r="AC63" s="13">
        <f t="shared" si="60"/>
        <v>4</v>
      </c>
      <c r="AD63" s="9">
        <f t="shared" si="61"/>
        <v>0.06</v>
      </c>
      <c r="AE63" s="13">
        <f t="shared" si="62"/>
        <v>105</v>
      </c>
      <c r="AF63" s="13">
        <f t="shared" si="63"/>
        <v>35</v>
      </c>
      <c r="AG63" s="27">
        <f t="shared" si="23"/>
        <v>64.820000000000007</v>
      </c>
      <c r="AH63" s="29">
        <f t="shared" si="24"/>
        <v>342.1</v>
      </c>
      <c r="AI63" s="29">
        <f t="shared" si="25"/>
        <v>342.4</v>
      </c>
      <c r="AJ63" s="29">
        <f t="shared" si="26"/>
        <v>342.1</v>
      </c>
      <c r="AK63" s="27">
        <f t="shared" si="27"/>
        <v>68.950000000000045</v>
      </c>
      <c r="AL63" s="27">
        <f t="shared" si="28"/>
        <v>69.25</v>
      </c>
      <c r="AM63" s="27">
        <f t="shared" si="29"/>
        <v>68.950000000000045</v>
      </c>
      <c r="AP63" s="10">
        <f t="shared" si="30"/>
        <v>-55.3</v>
      </c>
      <c r="AQ63" s="13">
        <f t="shared" si="31"/>
        <v>9039</v>
      </c>
      <c r="AR63" s="10">
        <f t="shared" si="32"/>
        <v>-24.1</v>
      </c>
      <c r="AS63" s="13">
        <f t="shared" si="33"/>
        <v>9039</v>
      </c>
      <c r="AV63" s="13">
        <f t="shared" si="34"/>
        <v>329</v>
      </c>
      <c r="AW63" s="13">
        <f t="shared" si="35"/>
        <v>9039</v>
      </c>
      <c r="AY63" s="13">
        <f t="shared" si="36"/>
        <v>4</v>
      </c>
      <c r="AZ63" s="13">
        <f t="shared" si="37"/>
        <v>9039</v>
      </c>
      <c r="BA63" s="13"/>
      <c r="BB63" s="13"/>
      <c r="BC63" s="10">
        <f t="shared" si="38"/>
        <v>31.199999999999996</v>
      </c>
      <c r="BD63" s="10">
        <f t="shared" si="39"/>
        <v>31.199999999999996</v>
      </c>
      <c r="BE63" s="13">
        <f t="shared" si="40"/>
        <v>9039</v>
      </c>
      <c r="BG63" s="9">
        <f t="shared" si="41"/>
        <v>0.06</v>
      </c>
      <c r="BH63" s="13">
        <f t="shared" si="42"/>
        <v>9039</v>
      </c>
      <c r="BJ63" s="13">
        <f t="shared" si="43"/>
        <v>105</v>
      </c>
      <c r="BK63" s="13">
        <f t="shared" si="44"/>
        <v>9039</v>
      </c>
      <c r="BL63" s="13"/>
      <c r="BM63" s="13">
        <f t="shared" si="45"/>
        <v>64.820000000000007</v>
      </c>
      <c r="BN63" s="13">
        <f t="shared" si="46"/>
        <v>9039</v>
      </c>
      <c r="BO63" s="13"/>
      <c r="BP63" s="13"/>
      <c r="BQ63" s="10"/>
      <c r="BR63" s="10">
        <f t="shared" si="54"/>
        <v>5.25</v>
      </c>
      <c r="BS63">
        <v>3500</v>
      </c>
      <c r="BT63" s="13"/>
      <c r="BV63" s="25">
        <f t="shared" si="64"/>
        <v>657.68823122294702</v>
      </c>
      <c r="BW63">
        <v>3500</v>
      </c>
      <c r="BX63" s="13"/>
      <c r="BZ63" s="10">
        <f t="shared" si="65"/>
        <v>-24.1</v>
      </c>
      <c r="CA63" s="13">
        <f t="shared" si="66"/>
        <v>329</v>
      </c>
      <c r="CB63" s="9">
        <f t="shared" si="67"/>
        <v>-55.3</v>
      </c>
      <c r="CC63" s="13">
        <f t="shared" si="68"/>
        <v>329</v>
      </c>
      <c r="CD63">
        <f t="shared" si="48"/>
        <v>9039</v>
      </c>
      <c r="CE63" s="13">
        <f t="shared" si="49"/>
        <v>329</v>
      </c>
      <c r="CF63" s="13"/>
      <c r="CV63" s="9">
        <f t="shared" si="55"/>
        <v>0.46019267030600181</v>
      </c>
      <c r="CW63" s="9">
        <f t="shared" si="50"/>
        <v>16.684635575718925</v>
      </c>
      <c r="CX63" s="9"/>
      <c r="CY63" s="9">
        <f t="shared" si="51"/>
        <v>0.46019267030600181</v>
      </c>
      <c r="CZ63" s="9">
        <f t="shared" si="52"/>
        <v>16.684635575718925</v>
      </c>
    </row>
    <row r="64" spans="1:104" x14ac:dyDescent="0.25">
      <c r="A64" s="8"/>
      <c r="B64" s="21" t="str">
        <f>'Eingabe Diagramme'!B57</f>
        <v xml:space="preserve">  302.0   9663  -29.1  -57.1      5   0.06    100     38  343.6  343.9  343.6</v>
      </c>
      <c r="C64" s="19"/>
      <c r="D64" s="19"/>
      <c r="E64" s="19"/>
      <c r="F64" s="19"/>
      <c r="G64" s="19"/>
      <c r="H64" s="19"/>
      <c r="I64" s="20"/>
      <c r="J64" s="19"/>
      <c r="K64" s="19"/>
      <c r="L64" s="11" t="str">
        <f t="shared" si="53"/>
        <v xml:space="preserve">  302.0</v>
      </c>
      <c r="M64" s="11" t="str">
        <f t="shared" si="1"/>
        <v xml:space="preserve"> 9663</v>
      </c>
      <c r="N64" s="11" t="str">
        <f t="shared" si="2"/>
        <v>-29.1</v>
      </c>
      <c r="O64" s="11" t="str">
        <f t="shared" si="3"/>
        <v>-57.1</v>
      </c>
      <c r="P64" s="11" t="str">
        <f t="shared" si="4"/>
        <v xml:space="preserve">  5</v>
      </c>
      <c r="Q64" s="11" t="str">
        <f t="shared" si="5"/>
        <v xml:space="preserve"> 0.06</v>
      </c>
      <c r="R64" s="11" t="str">
        <f t="shared" si="6"/>
        <v>100</v>
      </c>
      <c r="S64" s="11" t="str">
        <f t="shared" si="19"/>
        <v xml:space="preserve"> 38</v>
      </c>
      <c r="T64" s="11" t="str">
        <f t="shared" si="20"/>
        <v>343.6</v>
      </c>
      <c r="U64" s="11" t="str">
        <f t="shared" si="21"/>
        <v>343.9</v>
      </c>
      <c r="V64" s="11" t="str">
        <f t="shared" si="22"/>
        <v>343.6</v>
      </c>
      <c r="W64" s="11"/>
      <c r="Y64" s="13">
        <f t="shared" si="56"/>
        <v>302</v>
      </c>
      <c r="Z64" s="13">
        <f t="shared" si="57"/>
        <v>9663</v>
      </c>
      <c r="AA64" s="10">
        <f t="shared" si="58"/>
        <v>-29.1</v>
      </c>
      <c r="AB64" s="10">
        <f t="shared" si="59"/>
        <v>-57.1</v>
      </c>
      <c r="AC64" s="13">
        <f t="shared" si="60"/>
        <v>5</v>
      </c>
      <c r="AD64" s="9">
        <f t="shared" si="61"/>
        <v>0.06</v>
      </c>
      <c r="AE64" s="13">
        <f t="shared" si="62"/>
        <v>100</v>
      </c>
      <c r="AF64" s="13">
        <f t="shared" si="63"/>
        <v>38</v>
      </c>
      <c r="AG64" s="27">
        <f t="shared" si="23"/>
        <v>70.376000000000005</v>
      </c>
      <c r="AH64" s="29">
        <f t="shared" si="24"/>
        <v>343.6</v>
      </c>
      <c r="AI64" s="29">
        <f t="shared" si="25"/>
        <v>343.9</v>
      </c>
      <c r="AJ64" s="29">
        <f t="shared" si="26"/>
        <v>343.6</v>
      </c>
      <c r="AK64" s="27">
        <f t="shared" si="27"/>
        <v>70.450000000000045</v>
      </c>
      <c r="AL64" s="27">
        <f t="shared" si="28"/>
        <v>70.75</v>
      </c>
      <c r="AM64" s="27">
        <f t="shared" si="29"/>
        <v>70.450000000000045</v>
      </c>
      <c r="AP64" s="10">
        <f t="shared" si="30"/>
        <v>-57.1</v>
      </c>
      <c r="AQ64" s="13">
        <f t="shared" si="31"/>
        <v>9663</v>
      </c>
      <c r="AR64" s="10">
        <f t="shared" si="32"/>
        <v>-29.1</v>
      </c>
      <c r="AS64" s="13">
        <f t="shared" si="33"/>
        <v>9663</v>
      </c>
      <c r="AV64" s="13">
        <f t="shared" si="34"/>
        <v>302</v>
      </c>
      <c r="AW64" s="13">
        <f t="shared" si="35"/>
        <v>9663</v>
      </c>
      <c r="AY64" s="13">
        <f t="shared" si="36"/>
        <v>5</v>
      </c>
      <c r="AZ64" s="13">
        <f t="shared" si="37"/>
        <v>9663</v>
      </c>
      <c r="BA64" s="13"/>
      <c r="BB64" s="13"/>
      <c r="BC64" s="10">
        <f t="shared" si="38"/>
        <v>28</v>
      </c>
      <c r="BD64" s="10">
        <f t="shared" si="39"/>
        <v>28</v>
      </c>
      <c r="BE64" s="13">
        <f t="shared" si="40"/>
        <v>9663</v>
      </c>
      <c r="BG64" s="9">
        <f t="shared" si="41"/>
        <v>0.06</v>
      </c>
      <c r="BH64" s="13">
        <f t="shared" si="42"/>
        <v>9663</v>
      </c>
      <c r="BJ64" s="13">
        <f t="shared" si="43"/>
        <v>100</v>
      </c>
      <c r="BK64" s="13">
        <f t="shared" si="44"/>
        <v>9663</v>
      </c>
      <c r="BL64" s="13"/>
      <c r="BM64" s="13">
        <f t="shared" si="45"/>
        <v>70.376000000000005</v>
      </c>
      <c r="BN64" s="13">
        <f t="shared" si="46"/>
        <v>9663</v>
      </c>
      <c r="BO64" s="13"/>
      <c r="BP64" s="13"/>
      <c r="BQ64" s="10"/>
      <c r="BR64" s="10">
        <f t="shared" si="54"/>
        <v>4.6000000000000014</v>
      </c>
      <c r="BS64">
        <v>3600</v>
      </c>
      <c r="BT64" s="13"/>
      <c r="BV64" s="25">
        <f t="shared" si="64"/>
        <v>649.26764272707942</v>
      </c>
      <c r="BW64">
        <v>3600</v>
      </c>
      <c r="BX64" s="13"/>
      <c r="BZ64" s="10">
        <f t="shared" si="65"/>
        <v>-29.1</v>
      </c>
      <c r="CA64" s="13">
        <f t="shared" si="66"/>
        <v>302</v>
      </c>
      <c r="CB64" s="9">
        <f t="shared" si="67"/>
        <v>-57.1</v>
      </c>
      <c r="CC64" s="13">
        <f t="shared" si="68"/>
        <v>302</v>
      </c>
      <c r="CD64">
        <f t="shared" si="48"/>
        <v>9663</v>
      </c>
      <c r="CE64" s="13">
        <f t="shared" si="49"/>
        <v>302</v>
      </c>
      <c r="CF64" s="13"/>
      <c r="CV64" s="9">
        <f t="shared" si="55"/>
        <v>0.43108059762770151</v>
      </c>
      <c r="CW64" s="9">
        <f t="shared" si="50"/>
        <v>1.3136643198987821</v>
      </c>
      <c r="CX64" s="9"/>
      <c r="CY64" s="9">
        <f t="shared" si="51"/>
        <v>0.43108059762770151</v>
      </c>
      <c r="CZ64" s="9">
        <f t="shared" si="52"/>
        <v>1.3136643198987821</v>
      </c>
    </row>
    <row r="65" spans="1:104" x14ac:dyDescent="0.25">
      <c r="A65" s="8"/>
      <c r="B65" s="21" t="str">
        <f>'Eingabe Diagramme'!B58</f>
        <v xml:space="preserve">  300.0   9710  -29.5  -55.5      6   0.07    100     38  343.7  344.0  343.7</v>
      </c>
      <c r="C65" s="19"/>
      <c r="D65" s="19"/>
      <c r="E65" s="19"/>
      <c r="F65" s="19"/>
      <c r="G65" s="19"/>
      <c r="H65" s="19"/>
      <c r="I65" s="20"/>
      <c r="J65" s="19"/>
      <c r="K65" s="19"/>
      <c r="L65" s="11" t="str">
        <f t="shared" si="53"/>
        <v xml:space="preserve">  300.0</v>
      </c>
      <c r="M65" s="11" t="str">
        <f t="shared" si="1"/>
        <v xml:space="preserve"> 9710</v>
      </c>
      <c r="N65" s="11" t="str">
        <f t="shared" si="2"/>
        <v>-29.5</v>
      </c>
      <c r="O65" s="11" t="str">
        <f t="shared" si="3"/>
        <v>-55.5</v>
      </c>
      <c r="P65" s="11" t="str">
        <f t="shared" si="4"/>
        <v xml:space="preserve">  6</v>
      </c>
      <c r="Q65" s="11" t="str">
        <f t="shared" si="5"/>
        <v xml:space="preserve"> 0.07</v>
      </c>
      <c r="R65" s="11" t="str">
        <f t="shared" si="6"/>
        <v>100</v>
      </c>
      <c r="S65" s="11" t="str">
        <f t="shared" si="19"/>
        <v xml:space="preserve"> 38</v>
      </c>
      <c r="T65" s="11" t="str">
        <f t="shared" si="20"/>
        <v>343.7</v>
      </c>
      <c r="U65" s="11" t="str">
        <f t="shared" si="21"/>
        <v>344.0</v>
      </c>
      <c r="V65" s="11" t="str">
        <f t="shared" si="22"/>
        <v>343.7</v>
      </c>
      <c r="W65" s="11"/>
      <c r="Y65" s="13">
        <f t="shared" si="56"/>
        <v>300</v>
      </c>
      <c r="Z65" s="13">
        <f t="shared" si="57"/>
        <v>9710</v>
      </c>
      <c r="AA65" s="10">
        <f t="shared" si="58"/>
        <v>-29.5</v>
      </c>
      <c r="AB65" s="10">
        <f t="shared" si="59"/>
        <v>-55.5</v>
      </c>
      <c r="AC65" s="13">
        <f t="shared" si="60"/>
        <v>6</v>
      </c>
      <c r="AD65" s="9">
        <f t="shared" si="61"/>
        <v>7.0000000000000007E-2</v>
      </c>
      <c r="AE65" s="13">
        <f t="shared" si="62"/>
        <v>100</v>
      </c>
      <c r="AF65" s="13">
        <f t="shared" si="63"/>
        <v>38</v>
      </c>
      <c r="AG65" s="27">
        <f t="shared" si="23"/>
        <v>70.376000000000005</v>
      </c>
      <c r="AH65" s="29">
        <f t="shared" si="24"/>
        <v>343.7</v>
      </c>
      <c r="AI65" s="29">
        <f t="shared" si="25"/>
        <v>344</v>
      </c>
      <c r="AJ65" s="29">
        <f t="shared" si="26"/>
        <v>343.7</v>
      </c>
      <c r="AK65" s="27">
        <f t="shared" si="27"/>
        <v>70.550000000000011</v>
      </c>
      <c r="AL65" s="27">
        <f t="shared" si="28"/>
        <v>70.850000000000023</v>
      </c>
      <c r="AM65" s="27">
        <f t="shared" si="29"/>
        <v>70.550000000000011</v>
      </c>
      <c r="AP65" s="10">
        <f t="shared" si="30"/>
        <v>-55.5</v>
      </c>
      <c r="AQ65" s="13">
        <f t="shared" si="31"/>
        <v>9710</v>
      </c>
      <c r="AR65" s="10">
        <f t="shared" si="32"/>
        <v>-29.5</v>
      </c>
      <c r="AS65" s="13">
        <f t="shared" si="33"/>
        <v>9710</v>
      </c>
      <c r="AV65" s="13">
        <f t="shared" si="34"/>
        <v>300</v>
      </c>
      <c r="AW65" s="13">
        <f t="shared" si="35"/>
        <v>9710</v>
      </c>
      <c r="AY65" s="13">
        <f t="shared" si="36"/>
        <v>6</v>
      </c>
      <c r="AZ65" s="13">
        <f t="shared" si="37"/>
        <v>9710</v>
      </c>
      <c r="BA65" s="13"/>
      <c r="BB65" s="13"/>
      <c r="BC65" s="10">
        <f t="shared" si="38"/>
        <v>26</v>
      </c>
      <c r="BD65" s="10">
        <f t="shared" si="39"/>
        <v>26</v>
      </c>
      <c r="BE65" s="13">
        <f t="shared" si="40"/>
        <v>9710</v>
      </c>
      <c r="BG65" s="9">
        <f t="shared" si="41"/>
        <v>7.0000000000000007E-2</v>
      </c>
      <c r="BH65" s="13">
        <f t="shared" si="42"/>
        <v>9710</v>
      </c>
      <c r="BJ65" s="13">
        <f t="shared" si="43"/>
        <v>100</v>
      </c>
      <c r="BK65" s="13">
        <f t="shared" si="44"/>
        <v>9710</v>
      </c>
      <c r="BL65" s="13"/>
      <c r="BM65" s="13">
        <f t="shared" si="45"/>
        <v>70.376000000000005</v>
      </c>
      <c r="BN65" s="13">
        <f t="shared" si="46"/>
        <v>9710</v>
      </c>
      <c r="BO65" s="13"/>
      <c r="BP65" s="13"/>
      <c r="BQ65" s="10"/>
      <c r="BR65" s="10">
        <f t="shared" si="54"/>
        <v>3.9500000000000028</v>
      </c>
      <c r="BS65">
        <v>3700</v>
      </c>
      <c r="BT65" s="13"/>
      <c r="BV65" s="25">
        <f t="shared" si="64"/>
        <v>640.93456317084167</v>
      </c>
      <c r="BW65">
        <v>3700</v>
      </c>
      <c r="BX65" s="13"/>
      <c r="BZ65" s="10">
        <f t="shared" si="65"/>
        <v>-29.5</v>
      </c>
      <c r="CA65" s="13">
        <f t="shared" si="66"/>
        <v>300</v>
      </c>
      <c r="CB65" s="9">
        <f t="shared" si="67"/>
        <v>-55.5</v>
      </c>
      <c r="CC65" s="13">
        <f t="shared" si="68"/>
        <v>300</v>
      </c>
      <c r="CD65">
        <f t="shared" si="48"/>
        <v>9710</v>
      </c>
      <c r="CE65" s="13">
        <f t="shared" si="49"/>
        <v>300</v>
      </c>
      <c r="CF65" s="13"/>
      <c r="CV65" s="9">
        <f t="shared" si="55"/>
        <v>0.428928777101452</v>
      </c>
      <c r="CW65" s="9">
        <f t="shared" si="50"/>
        <v>21.049698649542556</v>
      </c>
      <c r="CX65" s="9"/>
      <c r="CY65" s="9">
        <f t="shared" si="51"/>
        <v>0.428928777101452</v>
      </c>
      <c r="CZ65" s="9">
        <f t="shared" si="52"/>
        <v>21.049698649542556</v>
      </c>
    </row>
    <row r="66" spans="1:104" x14ac:dyDescent="0.25">
      <c r="A66" s="8"/>
      <c r="B66" s="21" t="str">
        <f>'Eingabe Diagramme'!B59</f>
        <v xml:space="preserve">  278.0  10241  -34.4  -51.2     17   0.12     90     42  344.1  344.7  344.2</v>
      </c>
      <c r="C66" s="19"/>
      <c r="D66" s="19"/>
      <c r="E66" s="19"/>
      <c r="F66" s="19"/>
      <c r="G66" s="19"/>
      <c r="H66" s="19"/>
      <c r="I66" s="20"/>
      <c r="J66" s="19"/>
      <c r="K66" s="19"/>
      <c r="L66" s="11" t="str">
        <f t="shared" si="53"/>
        <v xml:space="preserve">  278.0</v>
      </c>
      <c r="M66" s="11" t="str">
        <f t="shared" si="1"/>
        <v>10241</v>
      </c>
      <c r="N66" s="11" t="str">
        <f t="shared" si="2"/>
        <v>-34.4</v>
      </c>
      <c r="O66" s="11" t="str">
        <f t="shared" si="3"/>
        <v>-51.2</v>
      </c>
      <c r="P66" s="11" t="str">
        <f t="shared" si="4"/>
        <v xml:space="preserve"> 17</v>
      </c>
      <c r="Q66" s="11" t="str">
        <f t="shared" si="5"/>
        <v xml:space="preserve"> 0.12</v>
      </c>
      <c r="R66" s="11" t="str">
        <f t="shared" si="6"/>
        <v xml:space="preserve"> 90</v>
      </c>
      <c r="S66" s="11" t="str">
        <f t="shared" si="19"/>
        <v xml:space="preserve"> 42</v>
      </c>
      <c r="T66" s="11" t="str">
        <f t="shared" si="20"/>
        <v>344.1</v>
      </c>
      <c r="U66" s="11" t="str">
        <f t="shared" si="21"/>
        <v>344.7</v>
      </c>
      <c r="V66" s="11" t="str">
        <f t="shared" si="22"/>
        <v>344.2</v>
      </c>
      <c r="W66" s="11"/>
      <c r="Y66" s="13">
        <f t="shared" si="56"/>
        <v>278</v>
      </c>
      <c r="Z66" s="13">
        <f t="shared" si="57"/>
        <v>10241</v>
      </c>
      <c r="AA66" s="10">
        <f t="shared" si="58"/>
        <v>-34.4</v>
      </c>
      <c r="AB66" s="10">
        <f t="shared" si="59"/>
        <v>-51.2</v>
      </c>
      <c r="AC66" s="13">
        <f t="shared" si="60"/>
        <v>17</v>
      </c>
      <c r="AD66" s="9">
        <f t="shared" si="61"/>
        <v>0.12</v>
      </c>
      <c r="AE66" s="13">
        <f t="shared" si="62"/>
        <v>90</v>
      </c>
      <c r="AF66" s="13">
        <f t="shared" si="63"/>
        <v>42</v>
      </c>
      <c r="AG66" s="27">
        <f t="shared" si="23"/>
        <v>77.784000000000006</v>
      </c>
      <c r="AH66" s="29">
        <f t="shared" si="24"/>
        <v>344.1</v>
      </c>
      <c r="AI66" s="29">
        <f t="shared" si="25"/>
        <v>344.7</v>
      </c>
      <c r="AJ66" s="29">
        <f t="shared" si="26"/>
        <v>344.2</v>
      </c>
      <c r="AK66" s="27">
        <f t="shared" si="27"/>
        <v>70.950000000000045</v>
      </c>
      <c r="AL66" s="27">
        <f t="shared" si="28"/>
        <v>71.550000000000011</v>
      </c>
      <c r="AM66" s="27">
        <f t="shared" si="29"/>
        <v>71.050000000000011</v>
      </c>
      <c r="AP66" s="10">
        <f t="shared" si="30"/>
        <v>-51.2</v>
      </c>
      <c r="AQ66" s="13">
        <f t="shared" si="31"/>
        <v>10241</v>
      </c>
      <c r="AR66" s="10">
        <f t="shared" si="32"/>
        <v>-34.4</v>
      </c>
      <c r="AS66" s="13">
        <f t="shared" si="33"/>
        <v>10241</v>
      </c>
      <c r="AV66" s="13">
        <f t="shared" si="34"/>
        <v>278</v>
      </c>
      <c r="AW66" s="13">
        <f t="shared" si="35"/>
        <v>10241</v>
      </c>
      <c r="AY66" s="13">
        <f t="shared" si="36"/>
        <v>17</v>
      </c>
      <c r="AZ66" s="13">
        <f t="shared" si="37"/>
        <v>10241</v>
      </c>
      <c r="BA66" s="13"/>
      <c r="BB66" s="13"/>
      <c r="BC66" s="10">
        <f t="shared" si="38"/>
        <v>16.800000000000004</v>
      </c>
      <c r="BD66" s="10">
        <f t="shared" si="39"/>
        <v>16.800000000000004</v>
      </c>
      <c r="BE66" s="13">
        <f t="shared" si="40"/>
        <v>10241</v>
      </c>
      <c r="BG66" s="9">
        <f t="shared" si="41"/>
        <v>0.12</v>
      </c>
      <c r="BH66" s="13">
        <f t="shared" si="42"/>
        <v>10241</v>
      </c>
      <c r="BJ66" s="13">
        <f t="shared" si="43"/>
        <v>90</v>
      </c>
      <c r="BK66" s="13">
        <f t="shared" si="44"/>
        <v>10241</v>
      </c>
      <c r="BL66" s="13"/>
      <c r="BM66" s="13">
        <f t="shared" si="45"/>
        <v>77.784000000000006</v>
      </c>
      <c r="BN66" s="13">
        <f t="shared" si="46"/>
        <v>10241</v>
      </c>
      <c r="BO66" s="13"/>
      <c r="BP66" s="13"/>
      <c r="BQ66" s="10"/>
      <c r="BR66" s="10">
        <f t="shared" si="54"/>
        <v>3.3000000000000007</v>
      </c>
      <c r="BS66">
        <v>3800</v>
      </c>
      <c r="BT66" s="13"/>
      <c r="BV66" s="25">
        <f t="shared" si="64"/>
        <v>632.68829516187293</v>
      </c>
      <c r="BW66">
        <v>3800</v>
      </c>
      <c r="BX66" s="13"/>
      <c r="BZ66" s="10">
        <f t="shared" si="65"/>
        <v>-34.4</v>
      </c>
      <c r="CA66" s="13">
        <f t="shared" si="66"/>
        <v>278</v>
      </c>
      <c r="CB66" s="9">
        <f t="shared" si="67"/>
        <v>-51.2</v>
      </c>
      <c r="CC66" s="13">
        <f t="shared" si="68"/>
        <v>278</v>
      </c>
      <c r="CD66">
        <f t="shared" si="48"/>
        <v>10241</v>
      </c>
      <c r="CE66" s="13">
        <f t="shared" si="49"/>
        <v>278</v>
      </c>
      <c r="CF66" s="13"/>
      <c r="CV66" s="9">
        <f t="shared" si="55"/>
        <v>0.40563158168703278</v>
      </c>
      <c r="CW66" s="9">
        <f t="shared" si="50"/>
        <v>44.404105844120224</v>
      </c>
      <c r="CX66" s="9"/>
      <c r="CY66" s="9">
        <f t="shared" si="51"/>
        <v>0.40563158168703278</v>
      </c>
      <c r="CZ66" s="9">
        <f t="shared" si="52"/>
        <v>44.404105844120224</v>
      </c>
    </row>
    <row r="67" spans="1:104" x14ac:dyDescent="0.25">
      <c r="A67" s="8"/>
      <c r="B67" s="21" t="str">
        <f>'Eingabe Diagramme'!B60</f>
        <v xml:space="preserve">  254.0  10869  -40.3  -46.1     54   0.24     75     35  344.5  345.5  344.5</v>
      </c>
      <c r="C67" s="19"/>
      <c r="D67" s="19"/>
      <c r="E67" s="19"/>
      <c r="F67" s="19"/>
      <c r="G67" s="19"/>
      <c r="H67" s="19"/>
      <c r="I67" s="20"/>
      <c r="J67" s="19"/>
      <c r="K67" s="19"/>
      <c r="L67" s="11" t="str">
        <f t="shared" si="53"/>
        <v xml:space="preserve">  254.0</v>
      </c>
      <c r="M67" s="11" t="str">
        <f t="shared" si="1"/>
        <v>10869</v>
      </c>
      <c r="N67" s="11" t="str">
        <f t="shared" si="2"/>
        <v>-40.3</v>
      </c>
      <c r="O67" s="11" t="str">
        <f t="shared" si="3"/>
        <v>-46.1</v>
      </c>
      <c r="P67" s="11" t="str">
        <f t="shared" si="4"/>
        <v xml:space="preserve"> 54</v>
      </c>
      <c r="Q67" s="11" t="str">
        <f t="shared" si="5"/>
        <v xml:space="preserve"> 0.24</v>
      </c>
      <c r="R67" s="11" t="str">
        <f t="shared" si="6"/>
        <v xml:space="preserve"> 75</v>
      </c>
      <c r="S67" s="11" t="str">
        <f t="shared" si="19"/>
        <v xml:space="preserve"> 35</v>
      </c>
      <c r="T67" s="11" t="str">
        <f t="shared" si="20"/>
        <v>344.5</v>
      </c>
      <c r="U67" s="11" t="str">
        <f t="shared" si="21"/>
        <v>345.5</v>
      </c>
      <c r="V67" s="11" t="str">
        <f t="shared" si="22"/>
        <v>344.5</v>
      </c>
      <c r="W67" s="11"/>
      <c r="Y67" s="13">
        <f t="shared" si="56"/>
        <v>254</v>
      </c>
      <c r="Z67" s="13">
        <f t="shared" si="57"/>
        <v>10869</v>
      </c>
      <c r="AA67" s="10">
        <f t="shared" si="58"/>
        <v>-40.299999999999997</v>
      </c>
      <c r="AB67" s="10">
        <f t="shared" si="59"/>
        <v>-46.1</v>
      </c>
      <c r="AC67" s="13">
        <f t="shared" si="60"/>
        <v>54</v>
      </c>
      <c r="AD67" s="9">
        <f t="shared" si="61"/>
        <v>0.24</v>
      </c>
      <c r="AE67" s="13">
        <f t="shared" si="62"/>
        <v>75</v>
      </c>
      <c r="AF67" s="13">
        <f t="shared" si="63"/>
        <v>35</v>
      </c>
      <c r="AG67" s="27">
        <f t="shared" si="23"/>
        <v>64.820000000000007</v>
      </c>
      <c r="AH67" s="29">
        <f t="shared" si="24"/>
        <v>344.5</v>
      </c>
      <c r="AI67" s="29">
        <f t="shared" si="25"/>
        <v>345.5</v>
      </c>
      <c r="AJ67" s="29">
        <f t="shared" si="26"/>
        <v>344.5</v>
      </c>
      <c r="AK67" s="27">
        <f t="shared" si="27"/>
        <v>71.350000000000023</v>
      </c>
      <c r="AL67" s="27">
        <f t="shared" si="28"/>
        <v>72.350000000000023</v>
      </c>
      <c r="AM67" s="27">
        <f t="shared" si="29"/>
        <v>71.350000000000023</v>
      </c>
      <c r="AP67" s="10">
        <f t="shared" si="30"/>
        <v>-46.1</v>
      </c>
      <c r="AQ67" s="13">
        <f t="shared" si="31"/>
        <v>10869</v>
      </c>
      <c r="AR67" s="10">
        <f t="shared" si="32"/>
        <v>-40.299999999999997</v>
      </c>
      <c r="AS67" s="13">
        <f t="shared" si="33"/>
        <v>10869</v>
      </c>
      <c r="AV67" s="13">
        <f t="shared" si="34"/>
        <v>254</v>
      </c>
      <c r="AW67" s="13">
        <f t="shared" si="35"/>
        <v>10869</v>
      </c>
      <c r="AY67" s="13">
        <f t="shared" si="36"/>
        <v>54</v>
      </c>
      <c r="AZ67" s="13">
        <f t="shared" si="37"/>
        <v>10869</v>
      </c>
      <c r="BA67" s="13"/>
      <c r="BB67" s="13"/>
      <c r="BC67" s="10">
        <f t="shared" si="38"/>
        <v>5.8000000000000043</v>
      </c>
      <c r="BD67" s="10">
        <f t="shared" si="39"/>
        <v>5.8000000000000043</v>
      </c>
      <c r="BE67" s="13">
        <f t="shared" si="40"/>
        <v>10869</v>
      </c>
      <c r="BG67" s="9">
        <f t="shared" si="41"/>
        <v>0.24</v>
      </c>
      <c r="BH67" s="13">
        <f t="shared" si="42"/>
        <v>10869</v>
      </c>
      <c r="BJ67" s="13">
        <f t="shared" si="43"/>
        <v>75</v>
      </c>
      <c r="BK67" s="13">
        <f t="shared" si="44"/>
        <v>10869</v>
      </c>
      <c r="BL67" s="13"/>
      <c r="BM67" s="13">
        <f t="shared" si="45"/>
        <v>64.820000000000007</v>
      </c>
      <c r="BN67" s="13">
        <f t="shared" si="46"/>
        <v>10869</v>
      </c>
      <c r="BO67" s="13"/>
      <c r="BP67" s="13"/>
      <c r="BQ67" s="10"/>
      <c r="BR67" s="10">
        <f t="shared" si="54"/>
        <v>2.6500000000000021</v>
      </c>
      <c r="BS67">
        <v>3900</v>
      </c>
      <c r="BT67" s="13"/>
      <c r="BV67" s="25">
        <f t="shared" si="64"/>
        <v>624.52814516759872</v>
      </c>
      <c r="BW67">
        <v>3900</v>
      </c>
      <c r="BX67" s="13"/>
      <c r="BZ67" s="10">
        <f t="shared" si="65"/>
        <v>-40.299999999999997</v>
      </c>
      <c r="CA67" s="13">
        <f t="shared" si="66"/>
        <v>254</v>
      </c>
      <c r="CB67" s="9">
        <f t="shared" si="67"/>
        <v>-46.1</v>
      </c>
      <c r="CC67" s="13">
        <f t="shared" si="68"/>
        <v>254</v>
      </c>
      <c r="CD67">
        <f t="shared" si="48"/>
        <v>10869</v>
      </c>
      <c r="CE67" s="13">
        <f t="shared" si="49"/>
        <v>254</v>
      </c>
      <c r="CF67" s="13"/>
      <c r="CV67" s="9">
        <f t="shared" si="55"/>
        <v>0.38000369510207244</v>
      </c>
      <c r="CW67" s="9">
        <f t="shared" si="50"/>
        <v>10.694142390156113</v>
      </c>
      <c r="CX67" s="9"/>
      <c r="CY67" s="9">
        <f t="shared" si="51"/>
        <v>0.38000369510207244</v>
      </c>
      <c r="CZ67" s="9">
        <f t="shared" si="52"/>
        <v>10.694142390156113</v>
      </c>
    </row>
    <row r="68" spans="1:104" x14ac:dyDescent="0.25">
      <c r="A68" s="8"/>
      <c r="B68" s="21" t="str">
        <f>'Eingabe Diagramme'!B61</f>
        <v xml:space="preserve">  250.0  10980  -41.3  -45.2     66   0.27     65     29  344.5  345.7  344.6</v>
      </c>
      <c r="C68" s="19"/>
      <c r="D68" s="19"/>
      <c r="E68" s="19"/>
      <c r="F68" s="19"/>
      <c r="G68" s="19"/>
      <c r="H68" s="19"/>
      <c r="I68" s="20"/>
      <c r="J68" s="19"/>
      <c r="K68" s="19"/>
      <c r="L68" s="11" t="str">
        <f t="shared" si="53"/>
        <v xml:space="preserve">  250.0</v>
      </c>
      <c r="M68" s="11" t="str">
        <f t="shared" si="1"/>
        <v>10980</v>
      </c>
      <c r="N68" s="11" t="str">
        <f t="shared" si="2"/>
        <v>-41.3</v>
      </c>
      <c r="O68" s="11" t="str">
        <f t="shared" si="3"/>
        <v>-45.2</v>
      </c>
      <c r="P68" s="11" t="str">
        <f t="shared" si="4"/>
        <v xml:space="preserve"> 66</v>
      </c>
      <c r="Q68" s="11" t="str">
        <f t="shared" si="5"/>
        <v xml:space="preserve"> 0.27</v>
      </c>
      <c r="R68" s="11" t="str">
        <f t="shared" si="6"/>
        <v xml:space="preserve"> 65</v>
      </c>
      <c r="S68" s="11" t="str">
        <f t="shared" si="19"/>
        <v xml:space="preserve"> 29</v>
      </c>
      <c r="T68" s="11" t="str">
        <f t="shared" si="20"/>
        <v>344.5</v>
      </c>
      <c r="U68" s="11" t="str">
        <f t="shared" si="21"/>
        <v>345.7</v>
      </c>
      <c r="V68" s="11" t="str">
        <f t="shared" si="22"/>
        <v>344.6</v>
      </c>
      <c r="W68" s="11"/>
      <c r="Y68" s="13">
        <f t="shared" si="56"/>
        <v>250</v>
      </c>
      <c r="Z68" s="13">
        <f t="shared" si="57"/>
        <v>10980</v>
      </c>
      <c r="AA68" s="10">
        <f t="shared" si="58"/>
        <v>-41.3</v>
      </c>
      <c r="AB68" s="10">
        <f t="shared" si="59"/>
        <v>-45.2</v>
      </c>
      <c r="AC68" s="13">
        <f t="shared" si="60"/>
        <v>66</v>
      </c>
      <c r="AD68" s="9">
        <f t="shared" si="61"/>
        <v>0.27</v>
      </c>
      <c r="AE68" s="13">
        <f t="shared" si="62"/>
        <v>65</v>
      </c>
      <c r="AF68" s="13">
        <f t="shared" si="63"/>
        <v>29</v>
      </c>
      <c r="AG68" s="27">
        <f t="shared" si="23"/>
        <v>53.708000000000006</v>
      </c>
      <c r="AH68" s="29">
        <f t="shared" si="24"/>
        <v>344.5</v>
      </c>
      <c r="AI68" s="29">
        <f t="shared" si="25"/>
        <v>345.7</v>
      </c>
      <c r="AJ68" s="29">
        <f t="shared" si="26"/>
        <v>344.6</v>
      </c>
      <c r="AK68" s="27">
        <f t="shared" si="27"/>
        <v>71.350000000000023</v>
      </c>
      <c r="AL68" s="27">
        <f t="shared" si="28"/>
        <v>72.550000000000011</v>
      </c>
      <c r="AM68" s="27">
        <f t="shared" si="29"/>
        <v>71.450000000000045</v>
      </c>
      <c r="AP68" s="10">
        <f t="shared" si="30"/>
        <v>-45.2</v>
      </c>
      <c r="AQ68" s="13">
        <f t="shared" si="31"/>
        <v>10980</v>
      </c>
      <c r="AR68" s="10">
        <f t="shared" si="32"/>
        <v>-41.3</v>
      </c>
      <c r="AS68" s="13">
        <f t="shared" si="33"/>
        <v>10980</v>
      </c>
      <c r="AV68" s="13">
        <f t="shared" si="34"/>
        <v>250</v>
      </c>
      <c r="AW68" s="13">
        <f t="shared" si="35"/>
        <v>10980</v>
      </c>
      <c r="AY68" s="13">
        <f t="shared" si="36"/>
        <v>66</v>
      </c>
      <c r="AZ68" s="13">
        <f t="shared" si="37"/>
        <v>10980</v>
      </c>
      <c r="BA68" s="13"/>
      <c r="BB68" s="13"/>
      <c r="BC68" s="10">
        <f t="shared" si="38"/>
        <v>3.9000000000000057</v>
      </c>
      <c r="BD68" s="10">
        <f t="shared" si="39"/>
        <v>3.9000000000000057</v>
      </c>
      <c r="BE68" s="13">
        <f t="shared" si="40"/>
        <v>10980</v>
      </c>
      <c r="BG68" s="9">
        <f t="shared" si="41"/>
        <v>0.27</v>
      </c>
      <c r="BH68" s="13">
        <f t="shared" si="42"/>
        <v>10980</v>
      </c>
      <c r="BJ68" s="13">
        <f t="shared" si="43"/>
        <v>65</v>
      </c>
      <c r="BK68" s="13">
        <f t="shared" si="44"/>
        <v>10980</v>
      </c>
      <c r="BL68" s="13"/>
      <c r="BM68" s="13">
        <f t="shared" si="45"/>
        <v>53.708000000000006</v>
      </c>
      <c r="BN68" s="13">
        <f t="shared" si="46"/>
        <v>10980</v>
      </c>
      <c r="BO68" s="13"/>
      <c r="BP68" s="13"/>
      <c r="BQ68" s="10"/>
      <c r="BR68" s="10">
        <f t="shared" si="54"/>
        <v>2</v>
      </c>
      <c r="BS68">
        <v>4000</v>
      </c>
      <c r="BT68" s="13"/>
      <c r="BV68" s="25">
        <f t="shared" si="64"/>
        <v>616.45342350331555</v>
      </c>
      <c r="BW68">
        <v>4000</v>
      </c>
      <c r="BX68" s="13"/>
      <c r="BZ68" s="10">
        <f t="shared" si="65"/>
        <v>-41.3</v>
      </c>
      <c r="CA68" s="13">
        <f t="shared" si="66"/>
        <v>250</v>
      </c>
      <c r="CB68" s="9">
        <f t="shared" si="67"/>
        <v>-45.2</v>
      </c>
      <c r="CC68" s="13">
        <f t="shared" si="68"/>
        <v>250</v>
      </c>
      <c r="CD68">
        <f t="shared" si="48"/>
        <v>10980</v>
      </c>
      <c r="CE68" s="13">
        <f t="shared" si="49"/>
        <v>250</v>
      </c>
      <c r="CF68" s="13"/>
      <c r="CV68" s="9">
        <f t="shared" si="55"/>
        <v>0.37563258047864567</v>
      </c>
      <c r="CW68" s="9">
        <f t="shared" si="50"/>
        <v>2.7340621718153728</v>
      </c>
      <c r="CX68" s="9"/>
      <c r="CY68" s="9">
        <f t="shared" si="51"/>
        <v>0.37563258047864567</v>
      </c>
      <c r="CZ68" s="9">
        <f t="shared" si="52"/>
        <v>2.7340621718153728</v>
      </c>
    </row>
    <row r="69" spans="1:104" x14ac:dyDescent="0.25">
      <c r="A69" s="8"/>
      <c r="B69" s="21" t="str">
        <f>'Eingabe Diagramme'!B62</f>
        <v xml:space="preserve">  249.0  11007  -41.5  -45.4     66   0.27     65     29  344.6  345.7  344.6</v>
      </c>
      <c r="C69" s="19"/>
      <c r="D69" s="19"/>
      <c r="E69" s="19"/>
      <c r="F69" s="19"/>
      <c r="G69" s="19"/>
      <c r="H69" s="19"/>
      <c r="I69" s="20"/>
      <c r="J69" s="19"/>
      <c r="K69" s="19"/>
      <c r="L69" s="11" t="str">
        <f t="shared" si="53"/>
        <v xml:space="preserve">  249.0</v>
      </c>
      <c r="M69" s="11" t="str">
        <f t="shared" si="1"/>
        <v>11007</v>
      </c>
      <c r="N69" s="11" t="str">
        <f t="shared" si="2"/>
        <v>-41.5</v>
      </c>
      <c r="O69" s="11" t="str">
        <f t="shared" si="3"/>
        <v>-45.4</v>
      </c>
      <c r="P69" s="11" t="str">
        <f t="shared" si="4"/>
        <v xml:space="preserve"> 66</v>
      </c>
      <c r="Q69" s="11" t="str">
        <f t="shared" si="5"/>
        <v xml:space="preserve"> 0.27</v>
      </c>
      <c r="R69" s="11" t="str">
        <f t="shared" si="6"/>
        <v xml:space="preserve"> 65</v>
      </c>
      <c r="S69" s="11" t="str">
        <f t="shared" si="19"/>
        <v xml:space="preserve"> 29</v>
      </c>
      <c r="T69" s="11" t="str">
        <f t="shared" si="20"/>
        <v>344.6</v>
      </c>
      <c r="U69" s="11" t="str">
        <f t="shared" si="21"/>
        <v>345.7</v>
      </c>
      <c r="V69" s="11" t="str">
        <f t="shared" si="22"/>
        <v>344.6</v>
      </c>
      <c r="W69" s="11"/>
      <c r="Y69" s="13">
        <f t="shared" si="56"/>
        <v>249</v>
      </c>
      <c r="Z69" s="13">
        <f t="shared" si="57"/>
        <v>11007</v>
      </c>
      <c r="AA69" s="10">
        <f t="shared" si="58"/>
        <v>-41.5</v>
      </c>
      <c r="AB69" s="10">
        <f t="shared" si="59"/>
        <v>-45.4</v>
      </c>
      <c r="AC69" s="13">
        <f t="shared" si="60"/>
        <v>66</v>
      </c>
      <c r="AD69" s="9">
        <f t="shared" si="61"/>
        <v>0.27</v>
      </c>
      <c r="AE69" s="13">
        <f t="shared" si="62"/>
        <v>65</v>
      </c>
      <c r="AF69" s="13">
        <f t="shared" si="63"/>
        <v>29</v>
      </c>
      <c r="AG69" s="27">
        <f t="shared" si="23"/>
        <v>53.708000000000006</v>
      </c>
      <c r="AH69" s="29">
        <f t="shared" si="24"/>
        <v>344.6</v>
      </c>
      <c r="AI69" s="29">
        <f t="shared" si="25"/>
        <v>345.7</v>
      </c>
      <c r="AJ69" s="29">
        <f t="shared" si="26"/>
        <v>344.6</v>
      </c>
      <c r="AK69" s="27">
        <f t="shared" si="27"/>
        <v>71.450000000000045</v>
      </c>
      <c r="AL69" s="27">
        <f t="shared" si="28"/>
        <v>72.550000000000011</v>
      </c>
      <c r="AM69" s="27">
        <f t="shared" si="29"/>
        <v>71.450000000000045</v>
      </c>
      <c r="AP69" s="10">
        <f t="shared" si="30"/>
        <v>-45.4</v>
      </c>
      <c r="AQ69" s="13">
        <f t="shared" si="31"/>
        <v>11007</v>
      </c>
      <c r="AR69" s="10">
        <f t="shared" si="32"/>
        <v>-41.5</v>
      </c>
      <c r="AS69" s="13">
        <f t="shared" si="33"/>
        <v>11007</v>
      </c>
      <c r="AV69" s="13">
        <f t="shared" si="34"/>
        <v>249</v>
      </c>
      <c r="AW69" s="13">
        <f t="shared" si="35"/>
        <v>11007</v>
      </c>
      <c r="AY69" s="13">
        <f t="shared" si="36"/>
        <v>66</v>
      </c>
      <c r="AZ69" s="13">
        <f t="shared" si="37"/>
        <v>11007</v>
      </c>
      <c r="BA69" s="13"/>
      <c r="BB69" s="13"/>
      <c r="BC69" s="10">
        <f t="shared" si="38"/>
        <v>3.8999999999999986</v>
      </c>
      <c r="BD69" s="10">
        <f t="shared" si="39"/>
        <v>3.8999999999999986</v>
      </c>
      <c r="BE69" s="13">
        <f t="shared" si="40"/>
        <v>11007</v>
      </c>
      <c r="BG69" s="9">
        <f t="shared" si="41"/>
        <v>0.27</v>
      </c>
      <c r="BH69" s="13">
        <f t="shared" si="42"/>
        <v>11007</v>
      </c>
      <c r="BJ69" s="13">
        <f t="shared" si="43"/>
        <v>65</v>
      </c>
      <c r="BK69" s="13">
        <f t="shared" si="44"/>
        <v>11007</v>
      </c>
      <c r="BL69" s="13"/>
      <c r="BM69" s="13">
        <f t="shared" si="45"/>
        <v>53.708000000000006</v>
      </c>
      <c r="BN69" s="13">
        <f t="shared" si="46"/>
        <v>11007</v>
      </c>
      <c r="BO69" s="13"/>
      <c r="BP69" s="13"/>
      <c r="BQ69" s="10"/>
      <c r="BR69" s="10">
        <f t="shared" si="54"/>
        <v>1.3500000000000014</v>
      </c>
      <c r="BS69">
        <v>4100</v>
      </c>
      <c r="BT69" s="13"/>
      <c r="BV69" s="25">
        <f t="shared" si="64"/>
        <v>608.46344432027843</v>
      </c>
      <c r="BW69">
        <v>4100</v>
      </c>
      <c r="BX69" s="13"/>
      <c r="BZ69" s="10">
        <f t="shared" si="65"/>
        <v>-41.5</v>
      </c>
      <c r="CA69" s="13">
        <f t="shared" si="66"/>
        <v>249</v>
      </c>
      <c r="CB69" s="9">
        <f t="shared" si="67"/>
        <v>-45.4</v>
      </c>
      <c r="CC69" s="13">
        <f t="shared" si="68"/>
        <v>249</v>
      </c>
      <c r="CD69">
        <f t="shared" si="48"/>
        <v>11007</v>
      </c>
      <c r="CE69" s="13">
        <f t="shared" si="49"/>
        <v>249</v>
      </c>
      <c r="CF69" s="13"/>
      <c r="CV69" s="9">
        <f t="shared" si="55"/>
        <v>0.37445306336644973</v>
      </c>
      <c r="CW69" s="9">
        <f t="shared" si="50"/>
        <v>15.520757968464785</v>
      </c>
      <c r="CX69" s="9"/>
      <c r="CY69" s="9">
        <f t="shared" si="51"/>
        <v>0.37445306336644973</v>
      </c>
      <c r="CZ69" s="9">
        <f t="shared" si="52"/>
        <v>15.520757968464785</v>
      </c>
    </row>
    <row r="70" spans="1:104" x14ac:dyDescent="0.25">
      <c r="A70" s="8"/>
      <c r="B70" s="21" t="str">
        <f>'Eingabe Diagramme'!B63</f>
        <v xml:space="preserve">  243.0  11171  -43.0  -46.5     69   0.24     50     32  344.7  345.7  344.8</v>
      </c>
      <c r="C70" s="19"/>
      <c r="D70" s="19"/>
      <c r="E70" s="19"/>
      <c r="F70" s="19"/>
      <c r="G70" s="19"/>
      <c r="H70" s="19"/>
      <c r="I70" s="20"/>
      <c r="J70" s="19"/>
      <c r="K70" s="19"/>
      <c r="L70" s="11" t="str">
        <f t="shared" si="53"/>
        <v xml:space="preserve">  243.0</v>
      </c>
      <c r="M70" s="11" t="str">
        <f t="shared" si="1"/>
        <v>11171</v>
      </c>
      <c r="N70" s="11" t="str">
        <f t="shared" si="2"/>
        <v>-43.0</v>
      </c>
      <c r="O70" s="11" t="str">
        <f t="shared" si="3"/>
        <v>-46.5</v>
      </c>
      <c r="P70" s="11" t="str">
        <f t="shared" si="4"/>
        <v xml:space="preserve"> 69</v>
      </c>
      <c r="Q70" s="11" t="str">
        <f t="shared" si="5"/>
        <v xml:space="preserve"> 0.24</v>
      </c>
      <c r="R70" s="11" t="str">
        <f t="shared" si="6"/>
        <v xml:space="preserve"> 50</v>
      </c>
      <c r="S70" s="11" t="str">
        <f t="shared" si="19"/>
        <v xml:space="preserve"> 32</v>
      </c>
      <c r="T70" s="11" t="str">
        <f t="shared" si="20"/>
        <v>344.7</v>
      </c>
      <c r="U70" s="11" t="str">
        <f t="shared" si="21"/>
        <v>345.7</v>
      </c>
      <c r="V70" s="11" t="str">
        <f t="shared" si="22"/>
        <v>344.8</v>
      </c>
      <c r="W70" s="11"/>
      <c r="Y70" s="13">
        <f t="shared" si="56"/>
        <v>243</v>
      </c>
      <c r="Z70" s="13">
        <f t="shared" si="57"/>
        <v>11171</v>
      </c>
      <c r="AA70" s="10">
        <f t="shared" si="58"/>
        <v>-43</v>
      </c>
      <c r="AB70" s="10">
        <f t="shared" si="59"/>
        <v>-46.5</v>
      </c>
      <c r="AC70" s="13">
        <f t="shared" si="60"/>
        <v>69</v>
      </c>
      <c r="AD70" s="9">
        <f t="shared" si="61"/>
        <v>0.24</v>
      </c>
      <c r="AE70" s="13">
        <f t="shared" si="62"/>
        <v>50</v>
      </c>
      <c r="AF70" s="13">
        <f t="shared" si="63"/>
        <v>32</v>
      </c>
      <c r="AG70" s="27">
        <f t="shared" si="23"/>
        <v>59.264000000000003</v>
      </c>
      <c r="AH70" s="29">
        <f t="shared" si="24"/>
        <v>344.7</v>
      </c>
      <c r="AI70" s="29">
        <f t="shared" si="25"/>
        <v>345.7</v>
      </c>
      <c r="AJ70" s="29">
        <f t="shared" si="26"/>
        <v>344.8</v>
      </c>
      <c r="AK70" s="27">
        <f t="shared" si="27"/>
        <v>71.550000000000011</v>
      </c>
      <c r="AL70" s="27">
        <f t="shared" si="28"/>
        <v>72.550000000000011</v>
      </c>
      <c r="AM70" s="27">
        <f t="shared" si="29"/>
        <v>71.650000000000034</v>
      </c>
      <c r="AP70" s="10">
        <f t="shared" si="30"/>
        <v>-46.5</v>
      </c>
      <c r="AQ70" s="13">
        <f t="shared" si="31"/>
        <v>11171</v>
      </c>
      <c r="AR70" s="10">
        <f t="shared" si="32"/>
        <v>-43</v>
      </c>
      <c r="AS70" s="13">
        <f t="shared" si="33"/>
        <v>11171</v>
      </c>
      <c r="AV70" s="13">
        <f t="shared" si="34"/>
        <v>243</v>
      </c>
      <c r="AW70" s="13">
        <f t="shared" si="35"/>
        <v>11171</v>
      </c>
      <c r="AY70" s="13">
        <f t="shared" si="36"/>
        <v>69</v>
      </c>
      <c r="AZ70" s="13">
        <f t="shared" si="37"/>
        <v>11171</v>
      </c>
      <c r="BA70" s="13"/>
      <c r="BB70" s="13"/>
      <c r="BC70" s="10">
        <f t="shared" si="38"/>
        <v>3.5</v>
      </c>
      <c r="BD70" s="10">
        <f t="shared" si="39"/>
        <v>3.5</v>
      </c>
      <c r="BE70" s="13">
        <f t="shared" si="40"/>
        <v>11171</v>
      </c>
      <c r="BG70" s="9">
        <f t="shared" si="41"/>
        <v>0.24</v>
      </c>
      <c r="BH70" s="13">
        <f t="shared" si="42"/>
        <v>11171</v>
      </c>
      <c r="BJ70" s="13">
        <f t="shared" si="43"/>
        <v>50</v>
      </c>
      <c r="BK70" s="13">
        <f t="shared" si="44"/>
        <v>11171</v>
      </c>
      <c r="BL70" s="13"/>
      <c r="BM70" s="13">
        <f t="shared" si="45"/>
        <v>59.264000000000003</v>
      </c>
      <c r="BN70" s="13">
        <f t="shared" si="46"/>
        <v>11171</v>
      </c>
      <c r="BO70" s="13"/>
      <c r="BP70" s="13"/>
      <c r="BQ70" s="10"/>
      <c r="BR70" s="10">
        <f t="shared" si="54"/>
        <v>0.70000000000000284</v>
      </c>
      <c r="BS70">
        <v>4200</v>
      </c>
      <c r="BT70" s="13"/>
      <c r="BV70" s="25">
        <f t="shared" si="64"/>
        <v>600.55752559379835</v>
      </c>
      <c r="BW70">
        <v>4200</v>
      </c>
      <c r="BX70" s="13"/>
      <c r="BZ70" s="10">
        <f t="shared" si="65"/>
        <v>-43</v>
      </c>
      <c r="CA70" s="13">
        <f t="shared" si="66"/>
        <v>243</v>
      </c>
      <c r="CB70" s="9">
        <f t="shared" si="67"/>
        <v>-46.5</v>
      </c>
      <c r="CC70" s="13">
        <f t="shared" si="68"/>
        <v>243</v>
      </c>
      <c r="CD70">
        <f t="shared" si="48"/>
        <v>11171</v>
      </c>
      <c r="CE70" s="13">
        <f t="shared" si="49"/>
        <v>243</v>
      </c>
      <c r="CF70" s="13"/>
      <c r="CV70" s="9">
        <f t="shared" si="55"/>
        <v>0.36781178447978585</v>
      </c>
      <c r="CW70" s="9">
        <f t="shared" si="50"/>
        <v>2.4682157882562561</v>
      </c>
      <c r="CX70" s="9"/>
      <c r="CY70" s="9">
        <f t="shared" si="51"/>
        <v>0.36781178447978585</v>
      </c>
      <c r="CZ70" s="9">
        <f t="shared" si="52"/>
        <v>2.4682157882562561</v>
      </c>
    </row>
    <row r="71" spans="1:104" x14ac:dyDescent="0.25">
      <c r="A71" s="8"/>
      <c r="B71" s="21" t="str">
        <f>'Eingabe Diagramme'!B64</f>
        <v xml:space="preserve">  242.0  11199  -43.3  -46.7     69   0.24     50     32  344.7  345.8  344.8</v>
      </c>
      <c r="C71" s="19"/>
      <c r="D71" s="19"/>
      <c r="E71" s="19"/>
      <c r="F71" s="19"/>
      <c r="G71" s="19"/>
      <c r="H71" s="19"/>
      <c r="I71" s="20"/>
      <c r="J71" s="19"/>
      <c r="K71" s="19"/>
      <c r="L71" s="11" t="str">
        <f t="shared" si="53"/>
        <v xml:space="preserve">  242.0</v>
      </c>
      <c r="M71" s="11" t="str">
        <f t="shared" si="1"/>
        <v>11199</v>
      </c>
      <c r="N71" s="11" t="str">
        <f t="shared" si="2"/>
        <v>-43.3</v>
      </c>
      <c r="O71" s="11" t="str">
        <f t="shared" si="3"/>
        <v>-46.7</v>
      </c>
      <c r="P71" s="11" t="str">
        <f t="shared" si="4"/>
        <v xml:space="preserve"> 69</v>
      </c>
      <c r="Q71" s="11" t="str">
        <f t="shared" si="5"/>
        <v xml:space="preserve"> 0.24</v>
      </c>
      <c r="R71" s="11" t="str">
        <f t="shared" si="6"/>
        <v xml:space="preserve"> 50</v>
      </c>
      <c r="S71" s="11" t="str">
        <f t="shared" si="19"/>
        <v xml:space="preserve"> 32</v>
      </c>
      <c r="T71" s="11" t="str">
        <f t="shared" si="20"/>
        <v>344.7</v>
      </c>
      <c r="U71" s="11" t="str">
        <f t="shared" si="21"/>
        <v>345.8</v>
      </c>
      <c r="V71" s="11" t="str">
        <f t="shared" si="22"/>
        <v>344.8</v>
      </c>
      <c r="W71" s="11"/>
      <c r="Y71" s="13">
        <f t="shared" si="56"/>
        <v>242</v>
      </c>
      <c r="Z71" s="13">
        <f t="shared" si="57"/>
        <v>11199</v>
      </c>
      <c r="AA71" s="10">
        <f t="shared" si="58"/>
        <v>-43.3</v>
      </c>
      <c r="AB71" s="10">
        <f t="shared" si="59"/>
        <v>-46.7</v>
      </c>
      <c r="AC71" s="13">
        <f t="shared" si="60"/>
        <v>69</v>
      </c>
      <c r="AD71" s="9">
        <f t="shared" si="61"/>
        <v>0.24</v>
      </c>
      <c r="AE71" s="13">
        <f t="shared" si="62"/>
        <v>50</v>
      </c>
      <c r="AF71" s="13">
        <f t="shared" si="63"/>
        <v>32</v>
      </c>
      <c r="AG71" s="27">
        <f t="shared" si="23"/>
        <v>59.264000000000003</v>
      </c>
      <c r="AH71" s="29">
        <f t="shared" si="24"/>
        <v>344.7</v>
      </c>
      <c r="AI71" s="29">
        <f t="shared" si="25"/>
        <v>345.8</v>
      </c>
      <c r="AJ71" s="29">
        <f t="shared" si="26"/>
        <v>344.8</v>
      </c>
      <c r="AK71" s="27">
        <f t="shared" si="27"/>
        <v>71.550000000000011</v>
      </c>
      <c r="AL71" s="27">
        <f t="shared" si="28"/>
        <v>72.650000000000034</v>
      </c>
      <c r="AM71" s="27">
        <f t="shared" si="29"/>
        <v>71.650000000000034</v>
      </c>
      <c r="AP71" s="10">
        <f t="shared" si="30"/>
        <v>-46.7</v>
      </c>
      <c r="AQ71" s="13">
        <f t="shared" si="31"/>
        <v>11199</v>
      </c>
      <c r="AR71" s="10">
        <f t="shared" si="32"/>
        <v>-43.3</v>
      </c>
      <c r="AS71" s="13">
        <f t="shared" si="33"/>
        <v>11199</v>
      </c>
      <c r="AV71" s="13">
        <f t="shared" si="34"/>
        <v>242</v>
      </c>
      <c r="AW71" s="13">
        <f t="shared" si="35"/>
        <v>11199</v>
      </c>
      <c r="AY71" s="13">
        <f t="shared" si="36"/>
        <v>69</v>
      </c>
      <c r="AZ71" s="13">
        <f t="shared" si="37"/>
        <v>11199</v>
      </c>
      <c r="BA71" s="13"/>
      <c r="BB71" s="13"/>
      <c r="BC71" s="10">
        <f t="shared" si="38"/>
        <v>3.4000000000000057</v>
      </c>
      <c r="BD71" s="10">
        <f t="shared" si="39"/>
        <v>3.4000000000000057</v>
      </c>
      <c r="BE71" s="13">
        <f t="shared" si="40"/>
        <v>11199</v>
      </c>
      <c r="BG71" s="9">
        <f t="shared" si="41"/>
        <v>0.24</v>
      </c>
      <c r="BH71" s="13">
        <f t="shared" si="42"/>
        <v>11199</v>
      </c>
      <c r="BJ71" s="13">
        <f t="shared" si="43"/>
        <v>50</v>
      </c>
      <c r="BK71" s="13">
        <f t="shared" si="44"/>
        <v>11199</v>
      </c>
      <c r="BL71" s="13"/>
      <c r="BM71" s="13">
        <f t="shared" si="45"/>
        <v>59.264000000000003</v>
      </c>
      <c r="BN71" s="13">
        <f t="shared" si="46"/>
        <v>11199</v>
      </c>
      <c r="BO71" s="13"/>
      <c r="BP71" s="13"/>
      <c r="BQ71" s="10"/>
      <c r="BR71" s="10">
        <f t="shared" si="54"/>
        <v>5.0000000000000711E-2</v>
      </c>
      <c r="BS71">
        <v>4300</v>
      </c>
      <c r="BT71" s="13"/>
      <c r="BV71" s="25">
        <f t="shared" si="64"/>
        <v>592.73498911134629</v>
      </c>
      <c r="BW71">
        <v>4300</v>
      </c>
      <c r="BX71" s="13"/>
      <c r="BZ71" s="10">
        <f t="shared" si="65"/>
        <v>-43.3</v>
      </c>
      <c r="CA71" s="13">
        <f t="shared" si="66"/>
        <v>242</v>
      </c>
      <c r="CB71" s="9">
        <f t="shared" si="67"/>
        <v>-46.7</v>
      </c>
      <c r="CC71" s="13">
        <f t="shared" si="68"/>
        <v>242</v>
      </c>
      <c r="CD71">
        <f t="shared" si="48"/>
        <v>11199</v>
      </c>
      <c r="CE71" s="13">
        <f t="shared" si="49"/>
        <v>242</v>
      </c>
      <c r="CF71" s="13"/>
      <c r="CV71" s="9">
        <f t="shared" si="55"/>
        <v>0.36677624773933792</v>
      </c>
      <c r="CW71" s="9">
        <f t="shared" si="50"/>
        <v>38.135095195002961</v>
      </c>
      <c r="CX71" s="9"/>
      <c r="CY71" s="9">
        <f t="shared" si="51"/>
        <v>0.36677624773933792</v>
      </c>
      <c r="CZ71" s="9">
        <f t="shared" si="52"/>
        <v>38.135095195002961</v>
      </c>
    </row>
    <row r="72" spans="1:104" x14ac:dyDescent="0.25">
      <c r="A72" s="8"/>
      <c r="B72" s="21" t="str">
        <f>'Eingabe Diagramme'!B65</f>
        <v xml:space="preserve">  217.0  11922  -48.5  -59.5     27   0.06     62     38  347.6  347.9  347.6</v>
      </c>
      <c r="C72" s="19"/>
      <c r="D72" s="19"/>
      <c r="E72" s="19"/>
      <c r="F72" s="19"/>
      <c r="G72" s="19"/>
      <c r="H72" s="19"/>
      <c r="I72" s="20"/>
      <c r="J72" s="19"/>
      <c r="K72" s="19"/>
      <c r="L72" s="11" t="str">
        <f t="shared" si="53"/>
        <v xml:space="preserve">  217.0</v>
      </c>
      <c r="M72" s="11" t="str">
        <f t="shared" si="1"/>
        <v>11922</v>
      </c>
      <c r="N72" s="11" t="str">
        <f t="shared" si="2"/>
        <v>-48.5</v>
      </c>
      <c r="O72" s="11" t="str">
        <f t="shared" si="3"/>
        <v>-59.5</v>
      </c>
      <c r="P72" s="11" t="str">
        <f t="shared" si="4"/>
        <v xml:space="preserve"> 27</v>
      </c>
      <c r="Q72" s="11" t="str">
        <f t="shared" si="5"/>
        <v xml:space="preserve"> 0.06</v>
      </c>
      <c r="R72" s="11" t="str">
        <f t="shared" si="6"/>
        <v xml:space="preserve"> 62</v>
      </c>
      <c r="S72" s="11" t="str">
        <f t="shared" si="19"/>
        <v xml:space="preserve"> 38</v>
      </c>
      <c r="T72" s="11" t="str">
        <f t="shared" si="20"/>
        <v>347.6</v>
      </c>
      <c r="U72" s="11" t="str">
        <f t="shared" si="21"/>
        <v>347.9</v>
      </c>
      <c r="V72" s="11" t="str">
        <f t="shared" si="22"/>
        <v>347.6</v>
      </c>
      <c r="W72" s="11"/>
      <c r="Y72" s="13">
        <f t="shared" si="56"/>
        <v>217</v>
      </c>
      <c r="Z72" s="13">
        <f t="shared" si="57"/>
        <v>11922</v>
      </c>
      <c r="AA72" s="10">
        <f t="shared" si="58"/>
        <v>-48.5</v>
      </c>
      <c r="AB72" s="10">
        <f t="shared" si="59"/>
        <v>-59.5</v>
      </c>
      <c r="AC72" s="13">
        <f t="shared" si="60"/>
        <v>27</v>
      </c>
      <c r="AD72" s="9">
        <f t="shared" si="61"/>
        <v>0.06</v>
      </c>
      <c r="AE72" s="13">
        <f t="shared" si="62"/>
        <v>62</v>
      </c>
      <c r="AF72" s="13">
        <f t="shared" si="63"/>
        <v>38</v>
      </c>
      <c r="AG72" s="27">
        <f t="shared" si="23"/>
        <v>70.376000000000005</v>
      </c>
      <c r="AH72" s="29">
        <f t="shared" si="24"/>
        <v>347.6</v>
      </c>
      <c r="AI72" s="29">
        <f t="shared" si="25"/>
        <v>347.9</v>
      </c>
      <c r="AJ72" s="29">
        <f t="shared" si="26"/>
        <v>347.6</v>
      </c>
      <c r="AK72" s="27">
        <f t="shared" si="27"/>
        <v>74.450000000000045</v>
      </c>
      <c r="AL72" s="27">
        <f t="shared" si="28"/>
        <v>74.75</v>
      </c>
      <c r="AM72" s="27">
        <f t="shared" si="29"/>
        <v>74.450000000000045</v>
      </c>
      <c r="AP72" s="10">
        <f t="shared" si="30"/>
        <v>-59.5</v>
      </c>
      <c r="AQ72" s="13">
        <f t="shared" si="31"/>
        <v>11922</v>
      </c>
      <c r="AR72" s="10">
        <f t="shared" si="32"/>
        <v>-48.5</v>
      </c>
      <c r="AS72" s="13">
        <f t="shared" si="33"/>
        <v>11922</v>
      </c>
      <c r="AV72" s="13">
        <f t="shared" si="34"/>
        <v>217</v>
      </c>
      <c r="AW72" s="13">
        <f t="shared" si="35"/>
        <v>11922</v>
      </c>
      <c r="AY72" s="13">
        <f t="shared" si="36"/>
        <v>27</v>
      </c>
      <c r="AZ72" s="13">
        <f t="shared" si="37"/>
        <v>11922</v>
      </c>
      <c r="BA72" s="13"/>
      <c r="BB72" s="13"/>
      <c r="BC72" s="10">
        <f t="shared" si="38"/>
        <v>11</v>
      </c>
      <c r="BD72" s="10">
        <f t="shared" si="39"/>
        <v>11</v>
      </c>
      <c r="BE72" s="13">
        <f t="shared" si="40"/>
        <v>11922</v>
      </c>
      <c r="BG72" s="9">
        <f t="shared" si="41"/>
        <v>0.06</v>
      </c>
      <c r="BH72" s="13">
        <f t="shared" si="42"/>
        <v>11922</v>
      </c>
      <c r="BJ72" s="13">
        <f t="shared" si="43"/>
        <v>62</v>
      </c>
      <c r="BK72" s="13">
        <f t="shared" si="44"/>
        <v>11922</v>
      </c>
      <c r="BL72" s="13"/>
      <c r="BM72" s="13">
        <f t="shared" si="45"/>
        <v>70.376000000000005</v>
      </c>
      <c r="BN72" s="13">
        <f t="shared" si="46"/>
        <v>11922</v>
      </c>
      <c r="BO72" s="13"/>
      <c r="BP72" s="13"/>
      <c r="BQ72" s="10"/>
      <c r="BR72" s="10">
        <f t="shared" si="54"/>
        <v>-0.59999999999999787</v>
      </c>
      <c r="BS72">
        <v>4400</v>
      </c>
      <c r="BT72" s="13"/>
      <c r="BV72" s="25">
        <f t="shared" si="64"/>
        <v>584.99516046066447</v>
      </c>
      <c r="BW72">
        <v>4400</v>
      </c>
      <c r="BX72" s="13"/>
      <c r="BZ72" s="10">
        <f t="shared" si="65"/>
        <v>-48.5</v>
      </c>
      <c r="CA72" s="13">
        <f t="shared" si="66"/>
        <v>217</v>
      </c>
      <c r="CB72" s="9">
        <f t="shared" si="67"/>
        <v>-59.5</v>
      </c>
      <c r="CC72" s="13">
        <f t="shared" si="68"/>
        <v>217</v>
      </c>
      <c r="CD72">
        <f t="shared" si="48"/>
        <v>11922</v>
      </c>
      <c r="CE72" s="13">
        <f t="shared" si="49"/>
        <v>217</v>
      </c>
      <c r="CF72" s="13"/>
      <c r="CV72" s="9">
        <f t="shared" si="55"/>
        <v>0.33649890569547924</v>
      </c>
      <c r="CW72" s="9">
        <f t="shared" si="50"/>
        <v>1.7112742529822835</v>
      </c>
      <c r="CX72" s="9"/>
      <c r="CY72" s="9">
        <f t="shared" si="51"/>
        <v>0.33649890569547924</v>
      </c>
      <c r="CZ72" s="9">
        <f t="shared" si="52"/>
        <v>1.7112742529822835</v>
      </c>
    </row>
    <row r="73" spans="1:104" x14ac:dyDescent="0.25">
      <c r="A73" s="8"/>
      <c r="B73" s="21" t="str">
        <f>'Eingabe Diagramme'!B66</f>
        <v xml:space="preserve">  215.0  11982  -49.3  -54.3     56   0.11     63     38  347.3  347.8  347.3</v>
      </c>
      <c r="C73" s="19"/>
      <c r="D73" s="19"/>
      <c r="E73" s="19"/>
      <c r="F73" s="19"/>
      <c r="G73" s="19"/>
      <c r="H73" s="19"/>
      <c r="I73" s="20"/>
      <c r="J73" s="19"/>
      <c r="K73" s="19"/>
      <c r="L73" s="11" t="str">
        <f t="shared" si="53"/>
        <v xml:space="preserve">  215.0</v>
      </c>
      <c r="M73" s="11" t="str">
        <f t="shared" si="1"/>
        <v>11982</v>
      </c>
      <c r="N73" s="11" t="str">
        <f t="shared" si="2"/>
        <v>-49.3</v>
      </c>
      <c r="O73" s="11" t="str">
        <f t="shared" si="3"/>
        <v>-54.3</v>
      </c>
      <c r="P73" s="11" t="str">
        <f t="shared" si="4"/>
        <v xml:space="preserve"> 56</v>
      </c>
      <c r="Q73" s="11" t="str">
        <f t="shared" si="5"/>
        <v xml:space="preserve"> 0.11</v>
      </c>
      <c r="R73" s="11" t="str">
        <f t="shared" si="6"/>
        <v xml:space="preserve"> 63</v>
      </c>
      <c r="S73" s="11" t="str">
        <f t="shared" si="19"/>
        <v xml:space="preserve"> 38</v>
      </c>
      <c r="T73" s="11" t="str">
        <f t="shared" si="20"/>
        <v>347.3</v>
      </c>
      <c r="U73" s="11" t="str">
        <f t="shared" si="21"/>
        <v>347.8</v>
      </c>
      <c r="V73" s="11" t="str">
        <f t="shared" si="22"/>
        <v>347.3</v>
      </c>
      <c r="W73" s="11"/>
      <c r="Y73" s="13">
        <f t="shared" si="56"/>
        <v>215</v>
      </c>
      <c r="Z73" s="13">
        <f t="shared" si="57"/>
        <v>11982</v>
      </c>
      <c r="AA73" s="10">
        <f t="shared" si="58"/>
        <v>-49.3</v>
      </c>
      <c r="AB73" s="10">
        <f t="shared" si="59"/>
        <v>-54.3</v>
      </c>
      <c r="AC73" s="13">
        <f t="shared" si="60"/>
        <v>56</v>
      </c>
      <c r="AD73" s="9">
        <f t="shared" si="61"/>
        <v>0.11</v>
      </c>
      <c r="AE73" s="13">
        <f t="shared" si="62"/>
        <v>63</v>
      </c>
      <c r="AF73" s="13">
        <f t="shared" si="63"/>
        <v>38</v>
      </c>
      <c r="AG73" s="27">
        <f t="shared" si="23"/>
        <v>70.376000000000005</v>
      </c>
      <c r="AH73" s="29">
        <f t="shared" si="24"/>
        <v>347.3</v>
      </c>
      <c r="AI73" s="29">
        <f t="shared" si="25"/>
        <v>347.8</v>
      </c>
      <c r="AJ73" s="29">
        <f t="shared" si="26"/>
        <v>347.3</v>
      </c>
      <c r="AK73" s="27">
        <f t="shared" si="27"/>
        <v>74.150000000000034</v>
      </c>
      <c r="AL73" s="27">
        <f t="shared" si="28"/>
        <v>74.650000000000034</v>
      </c>
      <c r="AM73" s="27">
        <f t="shared" si="29"/>
        <v>74.150000000000034</v>
      </c>
      <c r="AP73" s="10">
        <f t="shared" si="30"/>
        <v>-54.3</v>
      </c>
      <c r="AQ73" s="13">
        <f t="shared" si="31"/>
        <v>11982</v>
      </c>
      <c r="AR73" s="10">
        <f t="shared" si="32"/>
        <v>-49.3</v>
      </c>
      <c r="AS73" s="13">
        <f t="shared" si="33"/>
        <v>11982</v>
      </c>
      <c r="AV73" s="13">
        <f t="shared" si="34"/>
        <v>215</v>
      </c>
      <c r="AW73" s="13">
        <f t="shared" si="35"/>
        <v>11982</v>
      </c>
      <c r="AY73" s="13">
        <f t="shared" si="36"/>
        <v>56</v>
      </c>
      <c r="AZ73" s="13">
        <f t="shared" si="37"/>
        <v>11982</v>
      </c>
      <c r="BA73" s="13"/>
      <c r="BB73" s="13"/>
      <c r="BC73" s="10">
        <f t="shared" si="38"/>
        <v>5</v>
      </c>
      <c r="BD73" s="10">
        <f t="shared" si="39"/>
        <v>5</v>
      </c>
      <c r="BE73" s="13">
        <f t="shared" si="40"/>
        <v>11982</v>
      </c>
      <c r="BG73" s="9">
        <f t="shared" si="41"/>
        <v>0.11</v>
      </c>
      <c r="BH73" s="13">
        <f t="shared" si="42"/>
        <v>11982</v>
      </c>
      <c r="BJ73" s="13">
        <f t="shared" si="43"/>
        <v>63</v>
      </c>
      <c r="BK73" s="13">
        <f t="shared" si="44"/>
        <v>11982</v>
      </c>
      <c r="BL73" s="13"/>
      <c r="BM73" s="13">
        <f t="shared" si="45"/>
        <v>70.376000000000005</v>
      </c>
      <c r="BN73" s="13">
        <f t="shared" si="46"/>
        <v>11982</v>
      </c>
      <c r="BO73" s="13"/>
      <c r="BP73" s="13"/>
      <c r="BQ73" s="10"/>
      <c r="BR73" s="10">
        <f t="shared" si="54"/>
        <v>-1.25</v>
      </c>
      <c r="BS73">
        <v>4500</v>
      </c>
      <c r="BT73" s="13"/>
      <c r="BV73" s="25">
        <f t="shared" si="64"/>
        <v>577.337369017887</v>
      </c>
      <c r="BW73">
        <v>4500</v>
      </c>
      <c r="BX73" s="13"/>
      <c r="BZ73" s="10">
        <f t="shared" si="65"/>
        <v>-49.3</v>
      </c>
      <c r="CA73" s="13">
        <f t="shared" si="66"/>
        <v>215</v>
      </c>
      <c r="CB73" s="9">
        <f t="shared" si="67"/>
        <v>-54.3</v>
      </c>
      <c r="CC73" s="13">
        <f t="shared" si="68"/>
        <v>215</v>
      </c>
      <c r="CD73">
        <f t="shared" si="48"/>
        <v>11982</v>
      </c>
      <c r="CE73" s="13">
        <f t="shared" si="49"/>
        <v>215</v>
      </c>
      <c r="CF73" s="13"/>
      <c r="CV73" s="9">
        <f t="shared" si="55"/>
        <v>0.33458903665051432</v>
      </c>
      <c r="CW73" s="9">
        <f t="shared" si="50"/>
        <v>6.3995305895182568</v>
      </c>
      <c r="CX73" s="9"/>
      <c r="CY73" s="9">
        <f t="shared" si="51"/>
        <v>0.33458903665051432</v>
      </c>
      <c r="CZ73" s="9">
        <f t="shared" si="52"/>
        <v>6.3995305895182568</v>
      </c>
    </row>
    <row r="74" spans="1:104" x14ac:dyDescent="0.25">
      <c r="A74" s="8"/>
      <c r="B74" s="21" t="str">
        <f>'Eingabe Diagramme'!B67</f>
        <v xml:space="preserve">  209.0  12166  -51.1  -55.6     59   0.10     65     40  347.3  347.7  347.3</v>
      </c>
      <c r="C74" s="19"/>
      <c r="D74" s="19"/>
      <c r="E74" s="19"/>
      <c r="F74" s="19"/>
      <c r="G74" s="19"/>
      <c r="H74" s="19"/>
      <c r="I74" s="20"/>
      <c r="J74" s="19"/>
      <c r="K74" s="19"/>
      <c r="L74" s="11" t="str">
        <f t="shared" si="53"/>
        <v xml:space="preserve">  209.0</v>
      </c>
      <c r="M74" s="11" t="str">
        <f t="shared" si="1"/>
        <v>12166</v>
      </c>
      <c r="N74" s="11" t="str">
        <f t="shared" si="2"/>
        <v>-51.1</v>
      </c>
      <c r="O74" s="11" t="str">
        <f t="shared" si="3"/>
        <v>-55.6</v>
      </c>
      <c r="P74" s="11" t="str">
        <f t="shared" si="4"/>
        <v xml:space="preserve"> 59</v>
      </c>
      <c r="Q74" s="11" t="str">
        <f t="shared" si="5"/>
        <v xml:space="preserve"> 0.10</v>
      </c>
      <c r="R74" s="11" t="str">
        <f t="shared" si="6"/>
        <v xml:space="preserve"> 65</v>
      </c>
      <c r="S74" s="11" t="str">
        <f t="shared" si="19"/>
        <v xml:space="preserve"> 40</v>
      </c>
      <c r="T74" s="11" t="str">
        <f t="shared" si="20"/>
        <v>347.3</v>
      </c>
      <c r="U74" s="11" t="str">
        <f t="shared" si="21"/>
        <v>347.7</v>
      </c>
      <c r="V74" s="11" t="str">
        <f t="shared" si="22"/>
        <v>347.3</v>
      </c>
      <c r="W74" s="11"/>
      <c r="Y74" s="13">
        <f t="shared" si="56"/>
        <v>209</v>
      </c>
      <c r="Z74" s="13">
        <f t="shared" si="57"/>
        <v>12166</v>
      </c>
      <c r="AA74" s="10">
        <f t="shared" si="58"/>
        <v>-51.1</v>
      </c>
      <c r="AB74" s="10">
        <f t="shared" si="59"/>
        <v>-55.6</v>
      </c>
      <c r="AC74" s="13">
        <f t="shared" si="60"/>
        <v>59</v>
      </c>
      <c r="AD74" s="9">
        <f t="shared" si="61"/>
        <v>0.1</v>
      </c>
      <c r="AE74" s="13">
        <f t="shared" si="62"/>
        <v>65</v>
      </c>
      <c r="AF74" s="13">
        <f t="shared" si="63"/>
        <v>40</v>
      </c>
      <c r="AG74" s="27">
        <f t="shared" si="23"/>
        <v>74.08</v>
      </c>
      <c r="AH74" s="29">
        <f t="shared" si="24"/>
        <v>347.3</v>
      </c>
      <c r="AI74" s="29">
        <f t="shared" si="25"/>
        <v>347.7</v>
      </c>
      <c r="AJ74" s="29">
        <f t="shared" si="26"/>
        <v>347.3</v>
      </c>
      <c r="AK74" s="27">
        <f t="shared" si="27"/>
        <v>74.150000000000034</v>
      </c>
      <c r="AL74" s="27">
        <f t="shared" si="28"/>
        <v>74.550000000000011</v>
      </c>
      <c r="AM74" s="27">
        <f t="shared" si="29"/>
        <v>74.150000000000034</v>
      </c>
      <c r="AP74" s="10">
        <f t="shared" si="30"/>
        <v>-55.6</v>
      </c>
      <c r="AQ74" s="13">
        <f t="shared" si="31"/>
        <v>12166</v>
      </c>
      <c r="AR74" s="10">
        <f t="shared" si="32"/>
        <v>-51.1</v>
      </c>
      <c r="AS74" s="13">
        <f t="shared" si="33"/>
        <v>12166</v>
      </c>
      <c r="AV74" s="13">
        <f t="shared" si="34"/>
        <v>209</v>
      </c>
      <c r="AW74" s="13">
        <f t="shared" si="35"/>
        <v>12166</v>
      </c>
      <c r="AY74" s="13">
        <f t="shared" si="36"/>
        <v>59</v>
      </c>
      <c r="AZ74" s="13">
        <f t="shared" si="37"/>
        <v>12166</v>
      </c>
      <c r="BA74" s="13"/>
      <c r="BB74" s="13"/>
      <c r="BC74" s="10">
        <f t="shared" si="38"/>
        <v>4.5</v>
      </c>
      <c r="BD74" s="10">
        <f t="shared" si="39"/>
        <v>4.5</v>
      </c>
      <c r="BE74" s="13">
        <f t="shared" si="40"/>
        <v>12166</v>
      </c>
      <c r="BG74" s="9">
        <f t="shared" si="41"/>
        <v>0.1</v>
      </c>
      <c r="BH74" s="13">
        <f t="shared" si="42"/>
        <v>12166</v>
      </c>
      <c r="BJ74" s="13">
        <f t="shared" si="43"/>
        <v>65</v>
      </c>
      <c r="BK74" s="13">
        <f t="shared" si="44"/>
        <v>12166</v>
      </c>
      <c r="BL74" s="13"/>
      <c r="BM74" s="13">
        <f t="shared" si="45"/>
        <v>74.08</v>
      </c>
      <c r="BN74" s="13">
        <f t="shared" si="46"/>
        <v>12166</v>
      </c>
      <c r="BO74" s="13"/>
      <c r="BP74" s="13"/>
      <c r="BQ74" s="10"/>
      <c r="BR74" s="10">
        <f t="shared" si="54"/>
        <v>-1.8999999999999986</v>
      </c>
      <c r="BS74">
        <v>4600</v>
      </c>
      <c r="BT74" s="13"/>
      <c r="BV74" s="25">
        <f t="shared" si="64"/>
        <v>569.76094793566494</v>
      </c>
      <c r="BW74">
        <v>4600</v>
      </c>
      <c r="BX74" s="13"/>
      <c r="BZ74" s="10">
        <f t="shared" si="65"/>
        <v>-51.1</v>
      </c>
      <c r="CA74" s="13">
        <f t="shared" si="66"/>
        <v>209</v>
      </c>
      <c r="CB74" s="9">
        <f t="shared" si="67"/>
        <v>-55.6</v>
      </c>
      <c r="CC74" s="13">
        <f t="shared" si="68"/>
        <v>209</v>
      </c>
      <c r="CD74">
        <f t="shared" si="48"/>
        <v>12166</v>
      </c>
      <c r="CE74" s="13">
        <f t="shared" si="49"/>
        <v>209</v>
      </c>
      <c r="CF74" s="13"/>
      <c r="CV74" s="9">
        <f t="shared" si="55"/>
        <v>0.32788825004909816</v>
      </c>
      <c r="CW74" s="9">
        <f t="shared" si="50"/>
        <v>8.7022006359196631</v>
      </c>
      <c r="CX74" s="9"/>
      <c r="CY74" s="9">
        <f t="shared" si="51"/>
        <v>0.32788825004909816</v>
      </c>
      <c r="CZ74" s="9">
        <f t="shared" si="52"/>
        <v>8.7022006359196631</v>
      </c>
    </row>
    <row r="75" spans="1:104" x14ac:dyDescent="0.25">
      <c r="A75" s="8"/>
      <c r="B75" s="21" t="str">
        <f>'Eingabe Diagramme'!B68</f>
        <v xml:space="preserve">  200.0  12450  -53.5  -56.9     66   0.09     70     42  347.9  348.3  347.9</v>
      </c>
      <c r="C75" s="19"/>
      <c r="D75" s="19"/>
      <c r="E75" s="19"/>
      <c r="F75" s="19"/>
      <c r="G75" s="19"/>
      <c r="H75" s="19"/>
      <c r="I75" s="20"/>
      <c r="J75" s="19"/>
      <c r="K75" s="19"/>
      <c r="L75" s="11" t="str">
        <f t="shared" si="53"/>
        <v xml:space="preserve">  200.0</v>
      </c>
      <c r="M75" s="11" t="str">
        <f t="shared" si="1"/>
        <v>12450</v>
      </c>
      <c r="N75" s="11" t="str">
        <f t="shared" si="2"/>
        <v>-53.5</v>
      </c>
      <c r="O75" s="11" t="str">
        <f t="shared" si="3"/>
        <v>-56.9</v>
      </c>
      <c r="P75" s="11" t="str">
        <f t="shared" si="4"/>
        <v xml:space="preserve"> 66</v>
      </c>
      <c r="Q75" s="11" t="str">
        <f t="shared" si="5"/>
        <v xml:space="preserve"> 0.09</v>
      </c>
      <c r="R75" s="11" t="str">
        <f t="shared" si="6"/>
        <v xml:space="preserve"> 70</v>
      </c>
      <c r="S75" s="11" t="str">
        <f t="shared" si="19"/>
        <v xml:space="preserve"> 42</v>
      </c>
      <c r="T75" s="11" t="str">
        <f t="shared" si="20"/>
        <v>347.9</v>
      </c>
      <c r="U75" s="11" t="str">
        <f t="shared" si="21"/>
        <v>348.3</v>
      </c>
      <c r="V75" s="11" t="str">
        <f t="shared" si="22"/>
        <v>347.9</v>
      </c>
      <c r="W75" s="11"/>
      <c r="Y75" s="13">
        <f t="shared" si="56"/>
        <v>200</v>
      </c>
      <c r="Z75" s="13">
        <f t="shared" si="57"/>
        <v>12450</v>
      </c>
      <c r="AA75" s="10">
        <f t="shared" si="58"/>
        <v>-53.5</v>
      </c>
      <c r="AB75" s="10">
        <f t="shared" si="59"/>
        <v>-56.9</v>
      </c>
      <c r="AC75" s="13">
        <f t="shared" si="60"/>
        <v>66</v>
      </c>
      <c r="AD75" s="9">
        <f t="shared" si="61"/>
        <v>0.09</v>
      </c>
      <c r="AE75" s="13">
        <f t="shared" si="62"/>
        <v>70</v>
      </c>
      <c r="AF75" s="13">
        <f t="shared" si="63"/>
        <v>42</v>
      </c>
      <c r="AG75" s="27">
        <f t="shared" si="23"/>
        <v>77.784000000000006</v>
      </c>
      <c r="AH75" s="29">
        <f t="shared" si="24"/>
        <v>347.9</v>
      </c>
      <c r="AI75" s="29">
        <f t="shared" si="25"/>
        <v>348.3</v>
      </c>
      <c r="AJ75" s="29">
        <f t="shared" si="26"/>
        <v>347.9</v>
      </c>
      <c r="AK75" s="27">
        <f t="shared" si="27"/>
        <v>74.75</v>
      </c>
      <c r="AL75" s="27">
        <f t="shared" si="28"/>
        <v>75.150000000000034</v>
      </c>
      <c r="AM75" s="27">
        <f t="shared" si="29"/>
        <v>74.75</v>
      </c>
      <c r="AP75" s="10">
        <f t="shared" si="30"/>
        <v>-56.9</v>
      </c>
      <c r="AQ75" s="13">
        <f t="shared" si="31"/>
        <v>12450</v>
      </c>
      <c r="AR75" s="10">
        <f t="shared" si="32"/>
        <v>-53.5</v>
      </c>
      <c r="AS75" s="13">
        <f t="shared" si="33"/>
        <v>12450</v>
      </c>
      <c r="AV75" s="13">
        <f t="shared" si="34"/>
        <v>200</v>
      </c>
      <c r="AW75" s="13">
        <f t="shared" si="35"/>
        <v>12450</v>
      </c>
      <c r="AY75" s="13">
        <f t="shared" si="36"/>
        <v>66</v>
      </c>
      <c r="AZ75" s="13">
        <f t="shared" si="37"/>
        <v>12450</v>
      </c>
      <c r="BA75" s="13"/>
      <c r="BB75" s="13"/>
      <c r="BC75" s="10">
        <f t="shared" si="38"/>
        <v>3.3999999999999986</v>
      </c>
      <c r="BD75" s="10">
        <f t="shared" si="39"/>
        <v>3.3999999999999986</v>
      </c>
      <c r="BE75" s="13">
        <f t="shared" si="40"/>
        <v>12450</v>
      </c>
      <c r="BG75" s="9">
        <f t="shared" si="41"/>
        <v>0.09</v>
      </c>
      <c r="BH75" s="13">
        <f t="shared" si="42"/>
        <v>12450</v>
      </c>
      <c r="BJ75" s="13">
        <f t="shared" si="43"/>
        <v>70</v>
      </c>
      <c r="BK75" s="13">
        <f t="shared" si="44"/>
        <v>12450</v>
      </c>
      <c r="BL75" s="13"/>
      <c r="BM75" s="13">
        <f t="shared" si="45"/>
        <v>77.784000000000006</v>
      </c>
      <c r="BN75" s="13">
        <f t="shared" si="46"/>
        <v>12450</v>
      </c>
      <c r="BO75" s="13"/>
      <c r="BP75" s="13"/>
      <c r="BQ75" s="10"/>
      <c r="BR75" s="10">
        <f t="shared" si="54"/>
        <v>-2.5499999999999972</v>
      </c>
      <c r="BS75">
        <v>4700</v>
      </c>
      <c r="BT75" s="13"/>
      <c r="BV75" s="25">
        <f t="shared" si="64"/>
        <v>562.26523413130178</v>
      </c>
      <c r="BW75">
        <v>4700</v>
      </c>
      <c r="BX75" s="13"/>
      <c r="BZ75" s="10">
        <f t="shared" si="65"/>
        <v>-53.5</v>
      </c>
      <c r="CA75" s="13">
        <f t="shared" si="66"/>
        <v>200</v>
      </c>
      <c r="CB75" s="9">
        <f t="shared" si="67"/>
        <v>-56.9</v>
      </c>
      <c r="CC75" s="13">
        <f t="shared" si="68"/>
        <v>200</v>
      </c>
      <c r="CD75">
        <f t="shared" si="48"/>
        <v>12450</v>
      </c>
      <c r="CE75" s="13">
        <f t="shared" si="49"/>
        <v>200</v>
      </c>
      <c r="CF75" s="13"/>
      <c r="CV75" s="9">
        <f t="shared" si="55"/>
        <v>0.31719704542307847</v>
      </c>
      <c r="CW75" s="9">
        <f t="shared" si="50"/>
        <v>3.6840827971112216</v>
      </c>
      <c r="CX75" s="9"/>
      <c r="CY75" s="9">
        <f t="shared" si="51"/>
        <v>0.31719704542307847</v>
      </c>
      <c r="CZ75" s="9">
        <f t="shared" si="52"/>
        <v>3.6840827971112216</v>
      </c>
    </row>
    <row r="76" spans="1:104" x14ac:dyDescent="0.25">
      <c r="A76" s="8"/>
      <c r="B76" s="21" t="str">
        <f>'Eingabe Diagramme'!B69</f>
        <v xml:space="preserve">  196.0  12580  -54.7  -57.2     74   0.09     74     44  348.0  348.4  348.0</v>
      </c>
      <c r="C76" s="19"/>
      <c r="D76" s="19"/>
      <c r="E76" s="19"/>
      <c r="F76" s="19"/>
      <c r="G76" s="19"/>
      <c r="H76" s="19"/>
      <c r="I76" s="20"/>
      <c r="J76" s="19"/>
      <c r="K76" s="19"/>
      <c r="L76" s="11" t="str">
        <f t="shared" si="53"/>
        <v xml:space="preserve">  196.0</v>
      </c>
      <c r="M76" s="11" t="str">
        <f t="shared" si="1"/>
        <v>12580</v>
      </c>
      <c r="N76" s="11" t="str">
        <f t="shared" si="2"/>
        <v>-54.7</v>
      </c>
      <c r="O76" s="11" t="str">
        <f t="shared" si="3"/>
        <v>-57.2</v>
      </c>
      <c r="P76" s="11" t="str">
        <f t="shared" si="4"/>
        <v xml:space="preserve"> 74</v>
      </c>
      <c r="Q76" s="11" t="str">
        <f t="shared" si="5"/>
        <v xml:space="preserve"> 0.09</v>
      </c>
      <c r="R76" s="11" t="str">
        <f t="shared" si="6"/>
        <v xml:space="preserve"> 74</v>
      </c>
      <c r="S76" s="11" t="str">
        <f t="shared" si="19"/>
        <v xml:space="preserve"> 44</v>
      </c>
      <c r="T76" s="11" t="str">
        <f t="shared" si="20"/>
        <v>348.0</v>
      </c>
      <c r="U76" s="11" t="str">
        <f t="shared" si="21"/>
        <v>348.4</v>
      </c>
      <c r="V76" s="11" t="str">
        <f t="shared" si="22"/>
        <v>348.0</v>
      </c>
      <c r="W76" s="11"/>
      <c r="Y76" s="13">
        <f t="shared" si="56"/>
        <v>196</v>
      </c>
      <c r="Z76" s="13">
        <f t="shared" si="57"/>
        <v>12580</v>
      </c>
      <c r="AA76" s="10">
        <f t="shared" si="58"/>
        <v>-54.7</v>
      </c>
      <c r="AB76" s="10">
        <f t="shared" si="59"/>
        <v>-57.2</v>
      </c>
      <c r="AC76" s="13">
        <f t="shared" si="60"/>
        <v>74</v>
      </c>
      <c r="AD76" s="9">
        <f t="shared" si="61"/>
        <v>0.09</v>
      </c>
      <c r="AE76" s="13">
        <f t="shared" si="62"/>
        <v>74</v>
      </c>
      <c r="AF76" s="13">
        <f t="shared" si="63"/>
        <v>44</v>
      </c>
      <c r="AG76" s="27">
        <f t="shared" si="23"/>
        <v>81.488</v>
      </c>
      <c r="AH76" s="29">
        <f t="shared" si="24"/>
        <v>348</v>
      </c>
      <c r="AI76" s="29">
        <f t="shared" si="25"/>
        <v>348.4</v>
      </c>
      <c r="AJ76" s="29">
        <f t="shared" si="26"/>
        <v>348</v>
      </c>
      <c r="AK76" s="27">
        <f t="shared" si="27"/>
        <v>74.850000000000023</v>
      </c>
      <c r="AL76" s="27">
        <f t="shared" si="28"/>
        <v>75.25</v>
      </c>
      <c r="AM76" s="27">
        <f t="shared" si="29"/>
        <v>74.850000000000023</v>
      </c>
      <c r="AP76" s="10">
        <f t="shared" si="30"/>
        <v>-57.2</v>
      </c>
      <c r="AQ76" s="13">
        <f t="shared" si="31"/>
        <v>12580</v>
      </c>
      <c r="AR76" s="10">
        <f t="shared" si="32"/>
        <v>-54.7</v>
      </c>
      <c r="AS76" s="13">
        <f t="shared" si="33"/>
        <v>12580</v>
      </c>
      <c r="AV76" s="13">
        <f t="shared" si="34"/>
        <v>196</v>
      </c>
      <c r="AW76" s="13">
        <f t="shared" si="35"/>
        <v>12580</v>
      </c>
      <c r="AY76" s="13">
        <f t="shared" si="36"/>
        <v>74</v>
      </c>
      <c r="AZ76" s="13">
        <f t="shared" si="37"/>
        <v>12580</v>
      </c>
      <c r="BA76" s="13"/>
      <c r="BB76" s="13"/>
      <c r="BC76" s="10">
        <f t="shared" si="38"/>
        <v>2.5</v>
      </c>
      <c r="BD76" s="10">
        <f t="shared" si="39"/>
        <v>2.5</v>
      </c>
      <c r="BE76" s="13">
        <f t="shared" si="40"/>
        <v>12580</v>
      </c>
      <c r="BG76" s="9">
        <f t="shared" si="41"/>
        <v>0.09</v>
      </c>
      <c r="BH76" s="13">
        <f t="shared" si="42"/>
        <v>12580</v>
      </c>
      <c r="BJ76" s="13">
        <f t="shared" si="43"/>
        <v>74</v>
      </c>
      <c r="BK76" s="13">
        <f t="shared" si="44"/>
        <v>12580</v>
      </c>
      <c r="BL76" s="13"/>
      <c r="BM76" s="13">
        <f t="shared" si="45"/>
        <v>81.488</v>
      </c>
      <c r="BN76" s="13">
        <f t="shared" si="46"/>
        <v>12580</v>
      </c>
      <c r="BO76" s="13"/>
      <c r="BP76" s="13"/>
      <c r="BQ76" s="10"/>
      <c r="BR76" s="10">
        <f t="shared" si="54"/>
        <v>-3.1999999999999993</v>
      </c>
      <c r="BS76">
        <v>4800</v>
      </c>
      <c r="BT76" s="13"/>
      <c r="BV76" s="25">
        <f t="shared" si="64"/>
        <v>554.84956827489532</v>
      </c>
      <c r="BW76">
        <v>4800</v>
      </c>
      <c r="BX76" s="13"/>
      <c r="BZ76" s="10">
        <f t="shared" si="65"/>
        <v>-54.7</v>
      </c>
      <c r="CA76" s="13">
        <f t="shared" si="66"/>
        <v>196</v>
      </c>
      <c r="CB76" s="9">
        <f t="shared" si="67"/>
        <v>-57.2</v>
      </c>
      <c r="CC76" s="13">
        <f t="shared" si="68"/>
        <v>196</v>
      </c>
      <c r="CD76">
        <f t="shared" si="48"/>
        <v>12580</v>
      </c>
      <c r="CE76" s="13">
        <f t="shared" si="49"/>
        <v>196</v>
      </c>
      <c r="CF76" s="13"/>
      <c r="CV76" s="9">
        <f t="shared" si="55"/>
        <v>0.31256069767285694</v>
      </c>
      <c r="CW76" s="9">
        <f t="shared" si="50"/>
        <v>6.1818723754478055</v>
      </c>
      <c r="CX76" s="9"/>
      <c r="CY76" s="9">
        <f t="shared" si="51"/>
        <v>0.31256069767285694</v>
      </c>
      <c r="CZ76" s="9">
        <f t="shared" si="52"/>
        <v>6.1818723754478055</v>
      </c>
    </row>
    <row r="77" spans="1:104" x14ac:dyDescent="0.25">
      <c r="A77" s="8"/>
      <c r="B77" s="21" t="str">
        <f>'Eingabe Diagramme'!B70</f>
        <v xml:space="preserve">  185.0  12948  -57.1  -68.1     24   0.02     84     51  349.9  350.0  349.9</v>
      </c>
      <c r="C77" s="19"/>
      <c r="D77" s="19"/>
      <c r="E77" s="19"/>
      <c r="F77" s="19"/>
      <c r="G77" s="19"/>
      <c r="H77" s="19"/>
      <c r="I77" s="20"/>
      <c r="J77" s="19"/>
      <c r="K77" s="19"/>
      <c r="L77" s="11" t="str">
        <f t="shared" si="53"/>
        <v xml:space="preserve">  185.0</v>
      </c>
      <c r="M77" s="11" t="str">
        <f t="shared" si="1"/>
        <v>12948</v>
      </c>
      <c r="N77" s="11" t="str">
        <f t="shared" si="2"/>
        <v>-57.1</v>
      </c>
      <c r="O77" s="11" t="str">
        <f t="shared" si="3"/>
        <v>-68.1</v>
      </c>
      <c r="P77" s="11" t="str">
        <f t="shared" si="4"/>
        <v xml:space="preserve"> 24</v>
      </c>
      <c r="Q77" s="11" t="str">
        <f t="shared" si="5"/>
        <v xml:space="preserve"> 0.02</v>
      </c>
      <c r="R77" s="11" t="str">
        <f t="shared" si="6"/>
        <v xml:space="preserve"> 84</v>
      </c>
      <c r="S77" s="11" t="str">
        <f t="shared" si="19"/>
        <v xml:space="preserve"> 51</v>
      </c>
      <c r="T77" s="11" t="str">
        <f t="shared" si="20"/>
        <v>349.9</v>
      </c>
      <c r="U77" s="11" t="str">
        <f t="shared" si="21"/>
        <v>350.0</v>
      </c>
      <c r="V77" s="11" t="str">
        <f t="shared" si="22"/>
        <v>349.9</v>
      </c>
      <c r="W77" s="11"/>
      <c r="Y77" s="13">
        <f t="shared" si="56"/>
        <v>185</v>
      </c>
      <c r="Z77" s="13">
        <f t="shared" si="57"/>
        <v>12948</v>
      </c>
      <c r="AA77" s="10">
        <f t="shared" si="58"/>
        <v>-57.1</v>
      </c>
      <c r="AB77" s="10">
        <f t="shared" si="59"/>
        <v>-68.099999999999994</v>
      </c>
      <c r="AC77" s="13">
        <f t="shared" si="60"/>
        <v>24</v>
      </c>
      <c r="AD77" s="9">
        <f t="shared" si="61"/>
        <v>0.02</v>
      </c>
      <c r="AE77" s="13">
        <f t="shared" si="62"/>
        <v>84</v>
      </c>
      <c r="AF77" s="13">
        <f t="shared" si="63"/>
        <v>51</v>
      </c>
      <c r="AG77" s="27">
        <f t="shared" si="23"/>
        <v>94.451999999999998</v>
      </c>
      <c r="AH77" s="29">
        <f t="shared" si="24"/>
        <v>349.9</v>
      </c>
      <c r="AI77" s="29">
        <f t="shared" si="25"/>
        <v>350</v>
      </c>
      <c r="AJ77" s="29">
        <f t="shared" si="26"/>
        <v>349.9</v>
      </c>
      <c r="AK77" s="27">
        <f t="shared" si="27"/>
        <v>76.75</v>
      </c>
      <c r="AL77" s="27">
        <f t="shared" si="28"/>
        <v>76.850000000000023</v>
      </c>
      <c r="AM77" s="27">
        <f t="shared" si="29"/>
        <v>76.75</v>
      </c>
      <c r="AP77" s="10">
        <f t="shared" si="30"/>
        <v>-68.099999999999994</v>
      </c>
      <c r="AQ77" s="13">
        <f t="shared" si="31"/>
        <v>12948</v>
      </c>
      <c r="AR77" s="10">
        <f t="shared" si="32"/>
        <v>-57.1</v>
      </c>
      <c r="AS77" s="13">
        <f t="shared" si="33"/>
        <v>12948</v>
      </c>
      <c r="AV77" s="13">
        <f t="shared" si="34"/>
        <v>185</v>
      </c>
      <c r="AW77" s="13">
        <f t="shared" si="35"/>
        <v>12948</v>
      </c>
      <c r="AY77" s="13">
        <f t="shared" si="36"/>
        <v>24</v>
      </c>
      <c r="AZ77" s="13">
        <f t="shared" si="37"/>
        <v>12948</v>
      </c>
      <c r="BA77" s="13"/>
      <c r="BB77" s="13"/>
      <c r="BC77" s="10">
        <f t="shared" si="38"/>
        <v>10.999999999999993</v>
      </c>
      <c r="BD77" s="10">
        <f t="shared" si="39"/>
        <v>10.999999999999993</v>
      </c>
      <c r="BE77" s="13">
        <f t="shared" si="40"/>
        <v>12948</v>
      </c>
      <c r="BG77" s="9">
        <f t="shared" si="41"/>
        <v>0.02</v>
      </c>
      <c r="BH77" s="13">
        <f t="shared" si="42"/>
        <v>12948</v>
      </c>
      <c r="BJ77" s="13">
        <f t="shared" si="43"/>
        <v>84</v>
      </c>
      <c r="BK77" s="13">
        <f t="shared" si="44"/>
        <v>12948</v>
      </c>
      <c r="BL77" s="13"/>
      <c r="BM77" s="13">
        <f t="shared" si="45"/>
        <v>94.451999999999998</v>
      </c>
      <c r="BN77" s="13">
        <f t="shared" si="46"/>
        <v>12948</v>
      </c>
      <c r="BO77" s="13"/>
      <c r="BP77" s="13"/>
      <c r="BQ77" s="10"/>
      <c r="BR77" s="10">
        <f t="shared" si="54"/>
        <v>-3.8499999999999979</v>
      </c>
      <c r="BS77">
        <v>4900</v>
      </c>
      <c r="BT77" s="13"/>
      <c r="BV77" s="25">
        <f t="shared" si="64"/>
        <v>547.5132947774872</v>
      </c>
      <c r="BW77">
        <v>4900</v>
      </c>
      <c r="BX77" s="13"/>
      <c r="BZ77" s="10">
        <f t="shared" si="65"/>
        <v>-57.1</v>
      </c>
      <c r="CA77" s="13">
        <f t="shared" si="66"/>
        <v>185</v>
      </c>
      <c r="CB77" s="9">
        <f t="shared" si="67"/>
        <v>-68.099999999999994</v>
      </c>
      <c r="CC77" s="13">
        <f t="shared" si="68"/>
        <v>185</v>
      </c>
      <c r="CD77">
        <f t="shared" si="48"/>
        <v>12948</v>
      </c>
      <c r="CE77" s="13">
        <f t="shared" si="49"/>
        <v>185</v>
      </c>
      <c r="CF77" s="13"/>
      <c r="CV77" s="9">
        <f t="shared" si="55"/>
        <v>0.29829625642277596</v>
      </c>
      <c r="CW77" s="9">
        <f t="shared" si="50"/>
        <v>0.20229323422054848</v>
      </c>
      <c r="CX77" s="9"/>
      <c r="CY77" s="9">
        <f t="shared" si="51"/>
        <v>0.29829625642277596</v>
      </c>
      <c r="CZ77" s="9">
        <f t="shared" si="52"/>
        <v>0.20229323422054848</v>
      </c>
    </row>
    <row r="78" spans="1:104" x14ac:dyDescent="0.25">
      <c r="A78" s="8"/>
      <c r="B78" s="21" t="str">
        <f>'Eingabe Diagramme'!B71</f>
        <v xml:space="preserve">  184.0  12982  -57.1  -69.1     20   0.02     85     52  350.4  350.5  350.4</v>
      </c>
      <c r="C78" s="19"/>
      <c r="D78" s="19"/>
      <c r="E78" s="19"/>
      <c r="F78" s="19"/>
      <c r="G78" s="19"/>
      <c r="H78" s="19"/>
      <c r="I78" s="20"/>
      <c r="J78" s="19"/>
      <c r="K78" s="19"/>
      <c r="L78" s="11" t="str">
        <f t="shared" si="53"/>
        <v xml:space="preserve">  184.0</v>
      </c>
      <c r="M78" s="11" t="str">
        <f t="shared" si="1"/>
        <v>12982</v>
      </c>
      <c r="N78" s="11" t="str">
        <f t="shared" si="2"/>
        <v>-57.1</v>
      </c>
      <c r="O78" s="11" t="str">
        <f t="shared" si="3"/>
        <v>-69.1</v>
      </c>
      <c r="P78" s="11" t="str">
        <f t="shared" si="4"/>
        <v xml:space="preserve"> 20</v>
      </c>
      <c r="Q78" s="11" t="str">
        <f t="shared" si="5"/>
        <v xml:space="preserve"> 0.02</v>
      </c>
      <c r="R78" s="11" t="str">
        <f t="shared" si="6"/>
        <v xml:space="preserve"> 85</v>
      </c>
      <c r="S78" s="11" t="str">
        <f t="shared" si="19"/>
        <v xml:space="preserve"> 52</v>
      </c>
      <c r="T78" s="11" t="str">
        <f t="shared" si="20"/>
        <v>350.4</v>
      </c>
      <c r="U78" s="11" t="str">
        <f t="shared" si="21"/>
        <v>350.5</v>
      </c>
      <c r="V78" s="11" t="str">
        <f t="shared" si="22"/>
        <v>350.4</v>
      </c>
      <c r="W78" s="11"/>
      <c r="Y78" s="13">
        <f t="shared" si="56"/>
        <v>184</v>
      </c>
      <c r="Z78" s="13">
        <f t="shared" si="57"/>
        <v>12982</v>
      </c>
      <c r="AA78" s="10">
        <f t="shared" si="58"/>
        <v>-57.1</v>
      </c>
      <c r="AB78" s="10">
        <f t="shared" si="59"/>
        <v>-69.099999999999994</v>
      </c>
      <c r="AC78" s="13">
        <f t="shared" si="60"/>
        <v>20</v>
      </c>
      <c r="AD78" s="9">
        <f t="shared" si="61"/>
        <v>0.02</v>
      </c>
      <c r="AE78" s="13">
        <f t="shared" si="62"/>
        <v>85</v>
      </c>
      <c r="AF78" s="13">
        <f t="shared" si="63"/>
        <v>52</v>
      </c>
      <c r="AG78" s="27">
        <f t="shared" si="23"/>
        <v>96.304000000000002</v>
      </c>
      <c r="AH78" s="29">
        <f t="shared" si="24"/>
        <v>350.4</v>
      </c>
      <c r="AI78" s="29">
        <f t="shared" si="25"/>
        <v>350.5</v>
      </c>
      <c r="AJ78" s="29">
        <f t="shared" si="26"/>
        <v>350.4</v>
      </c>
      <c r="AK78" s="27">
        <f t="shared" si="27"/>
        <v>77.25</v>
      </c>
      <c r="AL78" s="27">
        <f t="shared" si="28"/>
        <v>77.350000000000023</v>
      </c>
      <c r="AM78" s="27">
        <f t="shared" si="29"/>
        <v>77.25</v>
      </c>
      <c r="AP78" s="10">
        <f t="shared" si="30"/>
        <v>-69.099999999999994</v>
      </c>
      <c r="AQ78" s="13">
        <f t="shared" si="31"/>
        <v>12982</v>
      </c>
      <c r="AR78" s="10">
        <f t="shared" si="32"/>
        <v>-57.1</v>
      </c>
      <c r="AS78" s="13">
        <f t="shared" si="33"/>
        <v>12982</v>
      </c>
      <c r="AV78" s="13">
        <f t="shared" si="34"/>
        <v>184</v>
      </c>
      <c r="AW78" s="13">
        <f t="shared" si="35"/>
        <v>12982</v>
      </c>
      <c r="AY78" s="13">
        <f t="shared" si="36"/>
        <v>20</v>
      </c>
      <c r="AZ78" s="13">
        <f t="shared" si="37"/>
        <v>12982</v>
      </c>
      <c r="BA78" s="13"/>
      <c r="BB78" s="13"/>
      <c r="BC78" s="10">
        <f t="shared" si="38"/>
        <v>11.999999999999993</v>
      </c>
      <c r="BD78" s="10">
        <f t="shared" si="39"/>
        <v>11.999999999999993</v>
      </c>
      <c r="BE78" s="13">
        <f t="shared" si="40"/>
        <v>12982</v>
      </c>
      <c r="BG78" s="9">
        <f t="shared" si="41"/>
        <v>0.02</v>
      </c>
      <c r="BH78" s="13">
        <f t="shared" si="42"/>
        <v>12982</v>
      </c>
      <c r="BJ78" s="13">
        <f t="shared" si="43"/>
        <v>85</v>
      </c>
      <c r="BK78" s="13">
        <f t="shared" si="44"/>
        <v>12982</v>
      </c>
      <c r="BL78" s="13"/>
      <c r="BM78" s="13">
        <f t="shared" si="45"/>
        <v>96.304000000000002</v>
      </c>
      <c r="BN78" s="13">
        <f t="shared" si="46"/>
        <v>12982</v>
      </c>
      <c r="BO78" s="13"/>
      <c r="BP78" s="13"/>
      <c r="BQ78" s="10"/>
      <c r="BR78" s="10">
        <f t="shared" si="54"/>
        <v>-4.5</v>
      </c>
      <c r="BS78">
        <v>5000</v>
      </c>
      <c r="BT78" s="13"/>
      <c r="BV78" s="25">
        <f t="shared" si="64"/>
        <v>540.25576177922039</v>
      </c>
      <c r="BW78">
        <v>5000</v>
      </c>
      <c r="BX78" s="13"/>
      <c r="BZ78" s="10">
        <f t="shared" si="65"/>
        <v>-57.1</v>
      </c>
      <c r="CA78" s="13">
        <f t="shared" si="66"/>
        <v>184</v>
      </c>
      <c r="CB78" s="9">
        <f t="shared" si="67"/>
        <v>-69.099999999999994</v>
      </c>
      <c r="CC78" s="13">
        <f t="shared" si="68"/>
        <v>184</v>
      </c>
      <c r="CD78">
        <f t="shared" si="48"/>
        <v>12982</v>
      </c>
      <c r="CE78" s="13">
        <f t="shared" si="49"/>
        <v>184</v>
      </c>
      <c r="CF78" s="13"/>
      <c r="CV78" s="9">
        <f t="shared" si="55"/>
        <v>0.29668384422589605</v>
      </c>
      <c r="CW78" s="9">
        <f t="shared" si="50"/>
        <v>0.61214240765762018</v>
      </c>
      <c r="CX78" s="9"/>
      <c r="CY78" s="9">
        <f t="shared" si="51"/>
        <v>0.29668384422589605</v>
      </c>
      <c r="CZ78" s="9">
        <f t="shared" si="52"/>
        <v>0.61214240765762018</v>
      </c>
    </row>
    <row r="79" spans="1:104" x14ac:dyDescent="0.25">
      <c r="A79" s="8"/>
      <c r="B79" s="21" t="str">
        <f>'Eingabe Diagramme'!B72</f>
        <v xml:space="preserve">  180.0  13121  -57.3  -73.3     11   0.01     89     51  352.3  352.4  352.3</v>
      </c>
      <c r="C79" s="19"/>
      <c r="D79" s="19"/>
      <c r="E79" s="19"/>
      <c r="F79" s="19"/>
      <c r="G79" s="19"/>
      <c r="H79" s="19"/>
      <c r="I79" s="20"/>
      <c r="J79" s="19"/>
      <c r="K79" s="19"/>
      <c r="L79" s="11" t="str">
        <f t="shared" si="53"/>
        <v xml:space="preserve">  180.0</v>
      </c>
      <c r="M79" s="11" t="str">
        <f t="shared" si="1"/>
        <v>13121</v>
      </c>
      <c r="N79" s="11" t="str">
        <f t="shared" si="2"/>
        <v>-57.3</v>
      </c>
      <c r="O79" s="11" t="str">
        <f t="shared" si="3"/>
        <v>-73.3</v>
      </c>
      <c r="P79" s="11" t="str">
        <f t="shared" si="4"/>
        <v xml:space="preserve"> 11</v>
      </c>
      <c r="Q79" s="11" t="str">
        <f t="shared" si="5"/>
        <v xml:space="preserve"> 0.01</v>
      </c>
      <c r="R79" s="11" t="str">
        <f t="shared" si="6"/>
        <v xml:space="preserve"> 89</v>
      </c>
      <c r="S79" s="11" t="str">
        <f t="shared" si="19"/>
        <v xml:space="preserve"> 51</v>
      </c>
      <c r="T79" s="11" t="str">
        <f t="shared" si="20"/>
        <v>352.3</v>
      </c>
      <c r="U79" s="11" t="str">
        <f t="shared" si="21"/>
        <v>352.4</v>
      </c>
      <c r="V79" s="11" t="str">
        <f t="shared" si="22"/>
        <v>352.3</v>
      </c>
      <c r="W79" s="11"/>
      <c r="Y79" s="13">
        <f t="shared" si="56"/>
        <v>180</v>
      </c>
      <c r="Z79" s="13">
        <f t="shared" si="57"/>
        <v>13121</v>
      </c>
      <c r="AA79" s="10">
        <f t="shared" si="58"/>
        <v>-57.3</v>
      </c>
      <c r="AB79" s="10">
        <f t="shared" si="59"/>
        <v>-73.3</v>
      </c>
      <c r="AC79" s="13">
        <f t="shared" si="60"/>
        <v>11</v>
      </c>
      <c r="AD79" s="9">
        <f t="shared" si="61"/>
        <v>0.01</v>
      </c>
      <c r="AE79" s="13">
        <f t="shared" si="62"/>
        <v>89</v>
      </c>
      <c r="AF79" s="13">
        <f t="shared" si="63"/>
        <v>51</v>
      </c>
      <c r="AG79" s="27">
        <f t="shared" si="23"/>
        <v>94.451999999999998</v>
      </c>
      <c r="AH79" s="29">
        <f t="shared" si="24"/>
        <v>352.3</v>
      </c>
      <c r="AI79" s="29">
        <f t="shared" si="25"/>
        <v>352.4</v>
      </c>
      <c r="AJ79" s="29">
        <f t="shared" si="26"/>
        <v>352.3</v>
      </c>
      <c r="AK79" s="27">
        <f t="shared" si="27"/>
        <v>79.150000000000034</v>
      </c>
      <c r="AL79" s="27">
        <f t="shared" si="28"/>
        <v>79.25</v>
      </c>
      <c r="AM79" s="27">
        <f t="shared" si="29"/>
        <v>79.150000000000034</v>
      </c>
      <c r="AP79" s="10">
        <f t="shared" si="30"/>
        <v>-73.3</v>
      </c>
      <c r="AQ79" s="13">
        <f t="shared" si="31"/>
        <v>13121</v>
      </c>
      <c r="AR79" s="10">
        <f t="shared" si="32"/>
        <v>-57.3</v>
      </c>
      <c r="AS79" s="13">
        <f t="shared" si="33"/>
        <v>13121</v>
      </c>
      <c r="AV79" s="13">
        <f t="shared" si="34"/>
        <v>180</v>
      </c>
      <c r="AW79" s="13">
        <f t="shared" si="35"/>
        <v>13121</v>
      </c>
      <c r="AY79" s="13">
        <f t="shared" si="36"/>
        <v>11</v>
      </c>
      <c r="AZ79" s="13">
        <f t="shared" si="37"/>
        <v>13121</v>
      </c>
      <c r="BA79" s="13"/>
      <c r="BB79" s="13"/>
      <c r="BC79" s="10">
        <f t="shared" si="38"/>
        <v>16</v>
      </c>
      <c r="BD79" s="10">
        <f t="shared" si="39"/>
        <v>16</v>
      </c>
      <c r="BE79" s="13">
        <f t="shared" si="40"/>
        <v>13121</v>
      </c>
      <c r="BG79" s="9">
        <f t="shared" si="41"/>
        <v>0.01</v>
      </c>
      <c r="BH79" s="13">
        <f t="shared" si="42"/>
        <v>13121</v>
      </c>
      <c r="BJ79" s="13">
        <f t="shared" si="43"/>
        <v>89</v>
      </c>
      <c r="BK79" s="13">
        <f t="shared" si="44"/>
        <v>13121</v>
      </c>
      <c r="BL79" s="13"/>
      <c r="BM79" s="13">
        <f t="shared" si="45"/>
        <v>94.451999999999998</v>
      </c>
      <c r="BN79" s="13">
        <f t="shared" si="46"/>
        <v>13121</v>
      </c>
      <c r="BO79" s="13"/>
      <c r="BP79" s="13"/>
      <c r="BQ79" s="10"/>
      <c r="BR79" s="10">
        <f t="shared" si="54"/>
        <v>-5.1499999999999986</v>
      </c>
      <c r="BS79">
        <v>5100</v>
      </c>
      <c r="BT79" s="13"/>
      <c r="BV79" s="25">
        <f t="shared" si="64"/>
        <v>533.07632113750367</v>
      </c>
      <c r="BW79">
        <v>5100</v>
      </c>
      <c r="BX79" s="13"/>
      <c r="BZ79" s="10">
        <f t="shared" si="65"/>
        <v>-57.3</v>
      </c>
      <c r="CA79" s="13">
        <f t="shared" si="66"/>
        <v>180</v>
      </c>
      <c r="CB79" s="9">
        <f t="shared" si="67"/>
        <v>-73.3</v>
      </c>
      <c r="CC79" s="13">
        <f t="shared" si="68"/>
        <v>180</v>
      </c>
      <c r="CD79">
        <f t="shared" si="48"/>
        <v>13121</v>
      </c>
      <c r="CE79" s="13">
        <f t="shared" si="49"/>
        <v>180</v>
      </c>
      <c r="CF79" s="13"/>
      <c r="CV79" s="9">
        <f t="shared" si="55"/>
        <v>0.29050311755599384</v>
      </c>
      <c r="CW79" s="9">
        <f t="shared" si="50"/>
        <v>1.6190720390957267</v>
      </c>
      <c r="CX79" s="9"/>
      <c r="CY79" s="9">
        <f t="shared" si="51"/>
        <v>0.29050311755599384</v>
      </c>
      <c r="CZ79" s="9">
        <f t="shared" si="52"/>
        <v>1.6190720390957267</v>
      </c>
    </row>
    <row r="80" spans="1:104" x14ac:dyDescent="0.25">
      <c r="A80" s="8"/>
      <c r="B80" s="21" t="str">
        <f>'Eingabe Diagramme'!B73</f>
        <v xml:space="preserve">  164.0  13698  -62.1  -74.0     19   0.01    105     46  353.8  353.8  353.8</v>
      </c>
      <c r="C80" s="19"/>
      <c r="D80" s="19"/>
      <c r="E80" s="19"/>
      <c r="F80" s="19"/>
      <c r="G80" s="19"/>
      <c r="H80" s="19"/>
      <c r="I80" s="20"/>
      <c r="J80" s="19"/>
      <c r="K80" s="19"/>
      <c r="L80" s="11" t="str">
        <f t="shared" si="53"/>
        <v xml:space="preserve">  164.0</v>
      </c>
      <c r="M80" s="11" t="str">
        <f t="shared" si="1"/>
        <v>13698</v>
      </c>
      <c r="N80" s="11" t="str">
        <f t="shared" si="2"/>
        <v>-62.1</v>
      </c>
      <c r="O80" s="11" t="str">
        <f t="shared" si="3"/>
        <v>-74.0</v>
      </c>
      <c r="P80" s="11" t="str">
        <f t="shared" si="4"/>
        <v xml:space="preserve"> 19</v>
      </c>
      <c r="Q80" s="11" t="str">
        <f t="shared" si="5"/>
        <v xml:space="preserve"> 0.01</v>
      </c>
      <c r="R80" s="11" t="str">
        <f t="shared" si="6"/>
        <v>105</v>
      </c>
      <c r="S80" s="11" t="str">
        <f t="shared" si="19"/>
        <v xml:space="preserve"> 46</v>
      </c>
      <c r="T80" s="11" t="str">
        <f t="shared" si="20"/>
        <v>353.8</v>
      </c>
      <c r="U80" s="11" t="str">
        <f t="shared" si="21"/>
        <v>353.8</v>
      </c>
      <c r="V80" s="11" t="str">
        <f t="shared" si="22"/>
        <v>353.8</v>
      </c>
      <c r="W80" s="11"/>
      <c r="Y80" s="13">
        <f t="shared" si="56"/>
        <v>164</v>
      </c>
      <c r="Z80" s="13">
        <f t="shared" si="57"/>
        <v>13698</v>
      </c>
      <c r="AA80" s="10">
        <f t="shared" si="58"/>
        <v>-62.1</v>
      </c>
      <c r="AB80" s="10">
        <f t="shared" si="59"/>
        <v>-74</v>
      </c>
      <c r="AC80" s="13">
        <f t="shared" si="60"/>
        <v>19</v>
      </c>
      <c r="AD80" s="9">
        <f t="shared" si="61"/>
        <v>0.01</v>
      </c>
      <c r="AE80" s="13">
        <f t="shared" si="62"/>
        <v>105</v>
      </c>
      <c r="AF80" s="13">
        <f t="shared" si="63"/>
        <v>46</v>
      </c>
      <c r="AG80" s="27">
        <f t="shared" si="23"/>
        <v>85.192000000000007</v>
      </c>
      <c r="AH80" s="29">
        <f t="shared" si="24"/>
        <v>353.8</v>
      </c>
      <c r="AI80" s="29">
        <f t="shared" si="25"/>
        <v>353.8</v>
      </c>
      <c r="AJ80" s="29">
        <f t="shared" si="26"/>
        <v>353.8</v>
      </c>
      <c r="AK80" s="27">
        <f t="shared" si="27"/>
        <v>80.650000000000034</v>
      </c>
      <c r="AL80" s="27">
        <f t="shared" si="28"/>
        <v>80.650000000000034</v>
      </c>
      <c r="AM80" s="27">
        <f t="shared" si="29"/>
        <v>80.650000000000034</v>
      </c>
      <c r="AP80" s="10">
        <f t="shared" si="30"/>
        <v>-74</v>
      </c>
      <c r="AQ80" s="13">
        <f t="shared" si="31"/>
        <v>13698</v>
      </c>
      <c r="AR80" s="10">
        <f t="shared" si="32"/>
        <v>-62.1</v>
      </c>
      <c r="AS80" s="13">
        <f t="shared" si="33"/>
        <v>13698</v>
      </c>
      <c r="AV80" s="13">
        <f t="shared" si="34"/>
        <v>164</v>
      </c>
      <c r="AW80" s="13">
        <f t="shared" si="35"/>
        <v>13698</v>
      </c>
      <c r="AY80" s="13">
        <f t="shared" si="36"/>
        <v>19</v>
      </c>
      <c r="AZ80" s="13">
        <f t="shared" si="37"/>
        <v>13698</v>
      </c>
      <c r="BA80" s="13"/>
      <c r="BB80" s="13"/>
      <c r="BC80" s="10">
        <f t="shared" si="38"/>
        <v>11.899999999999999</v>
      </c>
      <c r="BD80" s="10">
        <f t="shared" si="39"/>
        <v>11.899999999999999</v>
      </c>
      <c r="BE80" s="13">
        <f t="shared" si="40"/>
        <v>13698</v>
      </c>
      <c r="BG80" s="9">
        <f t="shared" si="41"/>
        <v>0.01</v>
      </c>
      <c r="BH80" s="13">
        <f t="shared" si="42"/>
        <v>13698</v>
      </c>
      <c r="BJ80" s="13">
        <f t="shared" si="43"/>
        <v>105</v>
      </c>
      <c r="BK80" s="13">
        <f t="shared" si="44"/>
        <v>13698</v>
      </c>
      <c r="BL80" s="13"/>
      <c r="BM80" s="13">
        <f t="shared" si="45"/>
        <v>85.192000000000007</v>
      </c>
      <c r="BN80" s="13">
        <f t="shared" si="46"/>
        <v>13698</v>
      </c>
      <c r="BO80" s="13"/>
      <c r="BP80" s="13"/>
      <c r="BQ80" s="10"/>
      <c r="BR80" s="10">
        <f t="shared" si="54"/>
        <v>-5.7999999999999972</v>
      </c>
      <c r="BS80">
        <v>5200</v>
      </c>
      <c r="BT80" s="13"/>
      <c r="BV80" s="25">
        <f t="shared" si="64"/>
        <v>525.97432841518446</v>
      </c>
      <c r="BW80">
        <v>5200</v>
      </c>
      <c r="BX80" s="13"/>
      <c r="BZ80" s="10">
        <f t="shared" si="65"/>
        <v>-62.1</v>
      </c>
      <c r="CA80" s="13">
        <f t="shared" si="66"/>
        <v>164</v>
      </c>
      <c r="CB80" s="9">
        <f t="shared" si="67"/>
        <v>-74</v>
      </c>
      <c r="CC80" s="13">
        <f t="shared" si="68"/>
        <v>164</v>
      </c>
      <c r="CD80">
        <f t="shared" si="48"/>
        <v>13698</v>
      </c>
      <c r="CE80" s="13">
        <f t="shared" si="49"/>
        <v>164</v>
      </c>
      <c r="CF80" s="13"/>
      <c r="CV80" s="9">
        <f t="shared" si="55"/>
        <v>0.27070036219989069</v>
      </c>
      <c r="CW80" s="9">
        <f t="shared" si="50"/>
        <v>1.4457124388882685</v>
      </c>
      <c r="CX80" s="9"/>
      <c r="CY80" s="9">
        <f t="shared" si="51"/>
        <v>0.27070036219989069</v>
      </c>
      <c r="CZ80" s="9">
        <f t="shared" si="52"/>
        <v>1.4457124388882685</v>
      </c>
    </row>
    <row r="81" spans="1:104" x14ac:dyDescent="0.25">
      <c r="A81" s="8"/>
      <c r="B81" s="21" t="str">
        <f>'Eingabe Diagramme'!B74</f>
        <v xml:space="preserve">  150.0  14250  -66.7  -74.7     32   0.01    105     43  355.0  355.0  355.0</v>
      </c>
      <c r="C81" s="19"/>
      <c r="D81" s="19"/>
      <c r="E81" s="19"/>
      <c r="F81" s="19"/>
      <c r="G81" s="19"/>
      <c r="H81" s="19"/>
      <c r="I81" s="20"/>
      <c r="J81" s="19"/>
      <c r="K81" s="19"/>
      <c r="L81" s="11" t="str">
        <f t="shared" si="53"/>
        <v xml:space="preserve">  150.0</v>
      </c>
      <c r="M81" s="11" t="str">
        <f t="shared" si="1"/>
        <v>14250</v>
      </c>
      <c r="N81" s="11" t="str">
        <f t="shared" si="2"/>
        <v>-66.7</v>
      </c>
      <c r="O81" s="11" t="str">
        <f t="shared" si="3"/>
        <v>-74.7</v>
      </c>
      <c r="P81" s="11" t="str">
        <f t="shared" si="4"/>
        <v xml:space="preserve"> 32</v>
      </c>
      <c r="Q81" s="11" t="str">
        <f t="shared" si="5"/>
        <v xml:space="preserve"> 0.01</v>
      </c>
      <c r="R81" s="11" t="str">
        <f t="shared" si="6"/>
        <v>105</v>
      </c>
      <c r="S81" s="11" t="str">
        <f t="shared" si="19"/>
        <v xml:space="preserve"> 43</v>
      </c>
      <c r="T81" s="11" t="str">
        <f t="shared" si="20"/>
        <v>355.0</v>
      </c>
      <c r="U81" s="11" t="str">
        <f t="shared" si="21"/>
        <v>355.0</v>
      </c>
      <c r="V81" s="11" t="str">
        <f t="shared" si="22"/>
        <v>355.0</v>
      </c>
      <c r="W81" s="11"/>
      <c r="Y81" s="13">
        <f t="shared" si="56"/>
        <v>150</v>
      </c>
      <c r="Z81" s="13">
        <f t="shared" si="57"/>
        <v>14250</v>
      </c>
      <c r="AA81" s="10">
        <f t="shared" si="58"/>
        <v>-66.7</v>
      </c>
      <c r="AB81" s="10">
        <f t="shared" si="59"/>
        <v>-74.7</v>
      </c>
      <c r="AC81" s="13">
        <f t="shared" si="60"/>
        <v>32</v>
      </c>
      <c r="AD81" s="9">
        <f t="shared" si="61"/>
        <v>0.01</v>
      </c>
      <c r="AE81" s="13">
        <f t="shared" si="62"/>
        <v>105</v>
      </c>
      <c r="AF81" s="13">
        <f t="shared" si="63"/>
        <v>43</v>
      </c>
      <c r="AG81" s="27">
        <f t="shared" si="23"/>
        <v>79.63600000000001</v>
      </c>
      <c r="AH81" s="29">
        <f t="shared" si="24"/>
        <v>355</v>
      </c>
      <c r="AI81" s="29">
        <f t="shared" si="25"/>
        <v>355</v>
      </c>
      <c r="AJ81" s="29">
        <f t="shared" si="26"/>
        <v>355</v>
      </c>
      <c r="AK81" s="27">
        <f t="shared" si="27"/>
        <v>81.850000000000023</v>
      </c>
      <c r="AL81" s="27">
        <f t="shared" si="28"/>
        <v>81.850000000000023</v>
      </c>
      <c r="AM81" s="27">
        <f t="shared" si="29"/>
        <v>81.850000000000023</v>
      </c>
      <c r="AP81" s="10">
        <f t="shared" si="30"/>
        <v>-74.7</v>
      </c>
      <c r="AQ81" s="13">
        <f t="shared" si="31"/>
        <v>14250</v>
      </c>
      <c r="AR81" s="10">
        <f t="shared" si="32"/>
        <v>-66.7</v>
      </c>
      <c r="AS81" s="13">
        <f t="shared" si="33"/>
        <v>14250</v>
      </c>
      <c r="AV81" s="13">
        <f t="shared" si="34"/>
        <v>150</v>
      </c>
      <c r="AW81" s="13">
        <f t="shared" si="35"/>
        <v>14250</v>
      </c>
      <c r="AY81" s="13">
        <f t="shared" si="36"/>
        <v>32</v>
      </c>
      <c r="AZ81" s="13">
        <f t="shared" si="37"/>
        <v>14250</v>
      </c>
      <c r="BA81" s="13"/>
      <c r="BB81" s="13"/>
      <c r="BC81" s="10">
        <f t="shared" si="38"/>
        <v>8</v>
      </c>
      <c r="BD81" s="10">
        <f t="shared" si="39"/>
        <v>8</v>
      </c>
      <c r="BE81" s="13">
        <f t="shared" si="40"/>
        <v>14250</v>
      </c>
      <c r="BG81" s="9">
        <f t="shared" si="41"/>
        <v>0.01</v>
      </c>
      <c r="BH81" s="13">
        <f t="shared" si="42"/>
        <v>14250</v>
      </c>
      <c r="BJ81" s="13">
        <f t="shared" si="43"/>
        <v>105</v>
      </c>
      <c r="BK81" s="13">
        <f t="shared" si="44"/>
        <v>14250</v>
      </c>
      <c r="BL81" s="13"/>
      <c r="BM81" s="13">
        <f t="shared" si="45"/>
        <v>79.63600000000001</v>
      </c>
      <c r="BN81" s="13">
        <f t="shared" si="46"/>
        <v>14250</v>
      </c>
      <c r="BO81" s="13"/>
      <c r="BP81" s="13"/>
      <c r="BQ81" s="10"/>
      <c r="BR81" s="10">
        <f t="shared" si="54"/>
        <v>-6.4499999999999957</v>
      </c>
      <c r="BS81">
        <v>5300</v>
      </c>
      <c r="BT81" s="13"/>
      <c r="BV81" s="25">
        <f t="shared" si="64"/>
        <v>518.94914286872893</v>
      </c>
      <c r="BW81">
        <v>5300</v>
      </c>
      <c r="BX81" s="13"/>
      <c r="BZ81" s="10">
        <f t="shared" si="65"/>
        <v>-66.7</v>
      </c>
      <c r="CA81" s="13">
        <f t="shared" si="66"/>
        <v>150</v>
      </c>
      <c r="CB81" s="9">
        <f t="shared" si="67"/>
        <v>-74.7</v>
      </c>
      <c r="CC81" s="13">
        <f t="shared" si="68"/>
        <v>150</v>
      </c>
      <c r="CD81">
        <f t="shared" si="48"/>
        <v>14250</v>
      </c>
      <c r="CE81" s="13">
        <f t="shared" si="49"/>
        <v>150</v>
      </c>
      <c r="CF81" s="13"/>
      <c r="CV81" s="9">
        <f t="shared" si="55"/>
        <v>0.2531084924697718</v>
      </c>
      <c r="CW81" s="9">
        <f t="shared" si="50"/>
        <v>1.3178339150350862</v>
      </c>
      <c r="CX81" s="9"/>
      <c r="CY81" s="9">
        <f t="shared" si="51"/>
        <v>0.2531084924697718</v>
      </c>
      <c r="CZ81" s="9">
        <f t="shared" si="52"/>
        <v>1.3178339150350862</v>
      </c>
    </row>
    <row r="82" spans="1:104" x14ac:dyDescent="0.25">
      <c r="A82" s="8"/>
      <c r="B82" s="21" t="str">
        <f>'Eingabe Diagramme'!B75</f>
        <v xml:space="preserve">  137.0  14788  -71.6  -77.2     43   0.01    115     37  355.6  355.6  355.6</v>
      </c>
      <c r="C82" s="19"/>
      <c r="D82" s="19"/>
      <c r="E82" s="19"/>
      <c r="F82" s="19"/>
      <c r="G82" s="19"/>
      <c r="H82" s="19"/>
      <c r="I82" s="20"/>
      <c r="J82" s="19"/>
      <c r="K82" s="19"/>
      <c r="L82" s="11" t="str">
        <f>MID(B82,1,7)</f>
        <v xml:space="preserve">  137.0</v>
      </c>
      <c r="M82" s="11" t="str">
        <f t="shared" si="1"/>
        <v>14788</v>
      </c>
      <c r="N82" s="11" t="str">
        <f t="shared" si="2"/>
        <v>-71.6</v>
      </c>
      <c r="O82" s="11" t="str">
        <f t="shared" si="3"/>
        <v>-77.2</v>
      </c>
      <c r="P82" s="11" t="str">
        <f t="shared" si="4"/>
        <v xml:space="preserve"> 43</v>
      </c>
      <c r="Q82" s="11" t="str">
        <f t="shared" si="5"/>
        <v xml:space="preserve"> 0.01</v>
      </c>
      <c r="R82" s="11" t="str">
        <f t="shared" si="6"/>
        <v>115</v>
      </c>
      <c r="S82" s="11" t="str">
        <f t="shared" si="19"/>
        <v xml:space="preserve"> 37</v>
      </c>
      <c r="T82" s="11" t="str">
        <f t="shared" si="20"/>
        <v>355.6</v>
      </c>
      <c r="U82" s="11" t="str">
        <f t="shared" si="21"/>
        <v>355.6</v>
      </c>
      <c r="V82" s="11" t="str">
        <f t="shared" si="22"/>
        <v>355.6</v>
      </c>
      <c r="W82" s="11"/>
      <c r="Y82" s="13">
        <f t="shared" si="56"/>
        <v>137</v>
      </c>
      <c r="Z82" s="13">
        <f t="shared" si="57"/>
        <v>14788</v>
      </c>
      <c r="AA82" s="10">
        <f t="shared" si="58"/>
        <v>-71.599999999999994</v>
      </c>
      <c r="AB82" s="10">
        <f t="shared" si="59"/>
        <v>-77.2</v>
      </c>
      <c r="AC82" s="13">
        <f t="shared" si="60"/>
        <v>43</v>
      </c>
      <c r="AD82" s="9">
        <f t="shared" si="61"/>
        <v>0.01</v>
      </c>
      <c r="AE82" s="13">
        <f t="shared" si="62"/>
        <v>115</v>
      </c>
      <c r="AF82" s="13">
        <f t="shared" si="63"/>
        <v>37</v>
      </c>
      <c r="AG82" s="27">
        <f t="shared" si="23"/>
        <v>68.524000000000001</v>
      </c>
      <c r="AH82" s="29">
        <f t="shared" si="24"/>
        <v>355.6</v>
      </c>
      <c r="AI82" s="29">
        <f t="shared" si="25"/>
        <v>355.6</v>
      </c>
      <c r="AJ82" s="29">
        <f t="shared" si="26"/>
        <v>355.6</v>
      </c>
      <c r="AK82" s="27">
        <f t="shared" si="27"/>
        <v>82.450000000000045</v>
      </c>
      <c r="AL82" s="27">
        <f t="shared" si="28"/>
        <v>82.450000000000045</v>
      </c>
      <c r="AM82" s="27">
        <f t="shared" si="29"/>
        <v>82.450000000000045</v>
      </c>
      <c r="AP82" s="10">
        <f t="shared" si="30"/>
        <v>-77.2</v>
      </c>
      <c r="AQ82" s="13">
        <f t="shared" si="31"/>
        <v>14788</v>
      </c>
      <c r="AR82" s="10">
        <f t="shared" si="32"/>
        <v>-71.599999999999994</v>
      </c>
      <c r="AS82" s="13">
        <f t="shared" si="33"/>
        <v>14788</v>
      </c>
      <c r="AV82" s="13">
        <f t="shared" si="34"/>
        <v>137</v>
      </c>
      <c r="AW82" s="13">
        <f t="shared" si="35"/>
        <v>14788</v>
      </c>
      <c r="AY82" s="13">
        <f t="shared" si="36"/>
        <v>43</v>
      </c>
      <c r="AZ82" s="13">
        <f t="shared" si="37"/>
        <v>14788</v>
      </c>
      <c r="BA82" s="13"/>
      <c r="BB82" s="13"/>
      <c r="BC82" s="10">
        <f t="shared" si="38"/>
        <v>5.6000000000000085</v>
      </c>
      <c r="BD82" s="10">
        <f t="shared" si="39"/>
        <v>5.6000000000000085</v>
      </c>
      <c r="BE82" s="13">
        <f t="shared" si="40"/>
        <v>14788</v>
      </c>
      <c r="BG82" s="9">
        <f t="shared" si="41"/>
        <v>0.01</v>
      </c>
      <c r="BH82" s="13">
        <f t="shared" si="42"/>
        <v>14788</v>
      </c>
      <c r="BJ82" s="13">
        <f t="shared" si="43"/>
        <v>115</v>
      </c>
      <c r="BK82" s="13">
        <f t="shared" si="44"/>
        <v>14788</v>
      </c>
      <c r="BL82" s="13"/>
      <c r="BM82" s="13">
        <f t="shared" si="45"/>
        <v>68.524000000000001</v>
      </c>
      <c r="BN82" s="13">
        <f t="shared" si="46"/>
        <v>14788</v>
      </c>
      <c r="BO82" s="13"/>
      <c r="BP82" s="13"/>
      <c r="BQ82" s="10"/>
      <c r="BR82" s="10">
        <f t="shared" si="54"/>
        <v>-7.1000000000000014</v>
      </c>
      <c r="BS82">
        <v>5400</v>
      </c>
      <c r="BT82" s="13"/>
      <c r="BV82" s="25">
        <f t="shared" si="64"/>
        <v>512.00012743641037</v>
      </c>
      <c r="BW82">
        <v>5400</v>
      </c>
      <c r="BX82" s="13"/>
      <c r="BZ82" s="10">
        <f t="shared" si="65"/>
        <v>-71.599999999999994</v>
      </c>
      <c r="CA82" s="13">
        <f t="shared" si="66"/>
        <v>137</v>
      </c>
      <c r="CB82" s="9">
        <f t="shared" si="67"/>
        <v>-77.2</v>
      </c>
      <c r="CC82" s="13">
        <f t="shared" si="68"/>
        <v>137</v>
      </c>
      <c r="CD82">
        <f t="shared" si="48"/>
        <v>14788</v>
      </c>
      <c r="CE82" s="13">
        <f t="shared" si="49"/>
        <v>137</v>
      </c>
      <c r="CF82" s="13"/>
      <c r="CV82" s="9">
        <f t="shared" si="55"/>
        <v>0.23679259118639415</v>
      </c>
      <c r="CW82" s="9">
        <f t="shared" si="50"/>
        <v>0.72503572572200414</v>
      </c>
      <c r="CX82" s="9"/>
      <c r="CY82" s="9">
        <f t="shared" si="51"/>
        <v>0.23679259118639415</v>
      </c>
      <c r="CZ82" s="9">
        <f t="shared" si="52"/>
        <v>0.72503572572200414</v>
      </c>
    </row>
    <row r="83" spans="1:104" x14ac:dyDescent="0.25">
      <c r="A83" s="8"/>
      <c r="B83" s="21" t="str">
        <f>'Eingabe Diagramme'!B76</f>
        <v xml:space="preserve">  130.0  15100  -74.5  -78.7     52   0.01    117     44  355.8  355.9  355.8</v>
      </c>
      <c r="C83" s="19"/>
      <c r="D83" s="19"/>
      <c r="E83" s="19"/>
      <c r="F83" s="19"/>
      <c r="G83" s="19"/>
      <c r="H83" s="19"/>
      <c r="I83" s="20"/>
      <c r="J83" s="19"/>
      <c r="K83" s="19"/>
      <c r="L83" s="11" t="str">
        <f>MID(B83,1,6)</f>
        <v xml:space="preserve">  130.</v>
      </c>
      <c r="M83" s="11" t="str">
        <f t="shared" si="1"/>
        <v>15100</v>
      </c>
      <c r="N83" s="11" t="str">
        <f t="shared" si="2"/>
        <v>-74.5</v>
      </c>
      <c r="O83" s="11" t="str">
        <f t="shared" si="3"/>
        <v>-78.7</v>
      </c>
      <c r="P83" s="11" t="str">
        <f t="shared" si="4"/>
        <v xml:space="preserve"> 52</v>
      </c>
      <c r="Q83" s="11" t="str">
        <f t="shared" si="5"/>
        <v xml:space="preserve"> 0.01</v>
      </c>
      <c r="R83" s="11" t="str">
        <f t="shared" si="6"/>
        <v>117</v>
      </c>
      <c r="S83" s="11" t="str">
        <f t="shared" si="19"/>
        <v xml:space="preserve"> 44</v>
      </c>
      <c r="T83" s="11" t="str">
        <f t="shared" si="20"/>
        <v>355.8</v>
      </c>
      <c r="U83" s="11" t="str">
        <f t="shared" si="21"/>
        <v>355.9</v>
      </c>
      <c r="V83" s="11" t="str">
        <f t="shared" si="22"/>
        <v>355.8</v>
      </c>
      <c r="W83" s="11"/>
      <c r="Y83" s="13">
        <f t="shared" si="56"/>
        <v>130</v>
      </c>
      <c r="Z83" s="13">
        <f t="shared" si="57"/>
        <v>15100</v>
      </c>
      <c r="AA83" s="10">
        <f t="shared" si="58"/>
        <v>-74.5</v>
      </c>
      <c r="AB83" s="10">
        <f t="shared" si="59"/>
        <v>-78.7</v>
      </c>
      <c r="AC83" s="13">
        <f t="shared" si="60"/>
        <v>52</v>
      </c>
      <c r="AD83" s="9">
        <f t="shared" si="61"/>
        <v>0.01</v>
      </c>
      <c r="AE83" s="13">
        <f t="shared" si="62"/>
        <v>117</v>
      </c>
      <c r="AF83" s="13">
        <f t="shared" si="63"/>
        <v>44</v>
      </c>
      <c r="AG83" s="27">
        <f t="shared" si="23"/>
        <v>81.488</v>
      </c>
      <c r="AH83" s="29">
        <f t="shared" si="24"/>
        <v>355.8</v>
      </c>
      <c r="AI83" s="29">
        <f t="shared" si="25"/>
        <v>355.9</v>
      </c>
      <c r="AJ83" s="29">
        <f t="shared" si="26"/>
        <v>355.8</v>
      </c>
      <c r="AK83" s="27">
        <f t="shared" si="27"/>
        <v>82.650000000000034</v>
      </c>
      <c r="AL83" s="27">
        <f t="shared" si="28"/>
        <v>82.75</v>
      </c>
      <c r="AM83" s="27">
        <f t="shared" si="29"/>
        <v>82.650000000000034</v>
      </c>
      <c r="AP83" s="10">
        <f t="shared" si="30"/>
        <v>-78.7</v>
      </c>
      <c r="AQ83" s="13">
        <f t="shared" si="31"/>
        <v>15100</v>
      </c>
      <c r="AR83" s="10">
        <f t="shared" si="32"/>
        <v>-74.5</v>
      </c>
      <c r="AS83" s="13">
        <f t="shared" si="33"/>
        <v>15100</v>
      </c>
      <c r="AV83" s="13">
        <f t="shared" si="34"/>
        <v>130</v>
      </c>
      <c r="AW83" s="13">
        <f t="shared" si="35"/>
        <v>15100</v>
      </c>
      <c r="AY83" s="13">
        <f t="shared" si="36"/>
        <v>52</v>
      </c>
      <c r="AZ83" s="13">
        <f t="shared" si="37"/>
        <v>15100</v>
      </c>
      <c r="BA83" s="13"/>
      <c r="BB83" s="13"/>
      <c r="BC83" s="10">
        <f t="shared" si="38"/>
        <v>4.2000000000000028</v>
      </c>
      <c r="BD83" s="10">
        <f t="shared" si="39"/>
        <v>4.2000000000000028</v>
      </c>
      <c r="BE83" s="13">
        <f t="shared" si="40"/>
        <v>15100</v>
      </c>
      <c r="BG83" s="9">
        <f t="shared" si="41"/>
        <v>0.01</v>
      </c>
      <c r="BH83" s="13">
        <f t="shared" si="42"/>
        <v>15100</v>
      </c>
      <c r="BJ83" s="13">
        <f t="shared" si="43"/>
        <v>117</v>
      </c>
      <c r="BK83" s="13">
        <f t="shared" si="44"/>
        <v>15100</v>
      </c>
      <c r="BL83" s="13"/>
      <c r="BM83" s="13">
        <f t="shared" si="45"/>
        <v>81.488</v>
      </c>
      <c r="BN83" s="13">
        <f t="shared" si="46"/>
        <v>15100</v>
      </c>
      <c r="BO83" s="13"/>
      <c r="BP83" s="13"/>
      <c r="BQ83" s="10"/>
      <c r="BR83" s="10">
        <f t="shared" si="54"/>
        <v>-7.75</v>
      </c>
      <c r="BS83">
        <v>5500</v>
      </c>
      <c r="BT83" s="13"/>
      <c r="BV83" s="25">
        <f t="shared" si="64"/>
        <v>505.1266487265039</v>
      </c>
      <c r="BW83">
        <v>5500</v>
      </c>
      <c r="BX83" s="13"/>
      <c r="BZ83" s="10">
        <f t="shared" si="65"/>
        <v>-74.5</v>
      </c>
      <c r="CA83" s="13">
        <f t="shared" si="66"/>
        <v>130</v>
      </c>
      <c r="CB83" s="9">
        <f t="shared" si="67"/>
        <v>-78.7</v>
      </c>
      <c r="CC83" s="13">
        <f t="shared" si="68"/>
        <v>130</v>
      </c>
      <c r="CD83">
        <f t="shared" si="48"/>
        <v>15100</v>
      </c>
      <c r="CE83" s="13">
        <f t="shared" si="49"/>
        <v>130</v>
      </c>
      <c r="CF83" s="13"/>
      <c r="CV83" s="9">
        <f t="shared" si="55"/>
        <v>0.22797389966104439</v>
      </c>
      <c r="CW83" s="9">
        <f t="shared" si="50"/>
        <v>0.35581087720605364</v>
      </c>
      <c r="CX83" s="9"/>
      <c r="CY83" s="9">
        <f t="shared" si="51"/>
        <v>0.22797389966104439</v>
      </c>
      <c r="CZ83" s="9">
        <f t="shared" si="52"/>
        <v>0.35581087720605364</v>
      </c>
    </row>
    <row r="84" spans="1:104" x14ac:dyDescent="0.25">
      <c r="A84" s="8"/>
      <c r="B84" s="21" t="str">
        <f>'Eingabe Diagramme'!B77</f>
        <v xml:space="preserve">  123.0  15420  -75.5  -81.8     37   0.00    120     52  359.8  359.8  359.8</v>
      </c>
      <c r="C84" s="19"/>
      <c r="D84" s="19"/>
      <c r="E84" s="19"/>
      <c r="F84" s="19"/>
      <c r="G84" s="19"/>
      <c r="H84" s="19"/>
      <c r="I84" s="20"/>
      <c r="J84" s="19"/>
      <c r="K84" s="19"/>
      <c r="L84" s="11" t="str">
        <f t="shared" si="53"/>
        <v xml:space="preserve">  123.0</v>
      </c>
      <c r="M84" s="11" t="str">
        <f t="shared" si="1"/>
        <v>15420</v>
      </c>
      <c r="N84" s="11" t="str">
        <f t="shared" si="2"/>
        <v>-75.5</v>
      </c>
      <c r="O84" s="11" t="str">
        <f t="shared" si="3"/>
        <v>-81.8</v>
      </c>
      <c r="P84" s="11" t="str">
        <f t="shared" si="4"/>
        <v xml:space="preserve"> 37</v>
      </c>
      <c r="Q84" s="11" t="str">
        <f t="shared" si="5"/>
        <v xml:space="preserve"> 0.00</v>
      </c>
      <c r="R84" s="11" t="str">
        <f t="shared" si="6"/>
        <v>120</v>
      </c>
      <c r="S84" s="11" t="str">
        <f t="shared" si="19"/>
        <v xml:space="preserve"> 52</v>
      </c>
      <c r="T84" s="11" t="str">
        <f t="shared" si="20"/>
        <v>359.8</v>
      </c>
      <c r="U84" s="11" t="str">
        <f t="shared" si="21"/>
        <v>359.8</v>
      </c>
      <c r="V84" s="11" t="str">
        <f t="shared" si="22"/>
        <v>359.8</v>
      </c>
      <c r="W84" s="11"/>
      <c r="Y84" s="13">
        <f t="shared" si="56"/>
        <v>123</v>
      </c>
      <c r="Z84" s="13">
        <f t="shared" si="57"/>
        <v>15420</v>
      </c>
      <c r="AA84" s="10">
        <f t="shared" si="58"/>
        <v>-75.5</v>
      </c>
      <c r="AB84" s="10">
        <f t="shared" si="59"/>
        <v>-81.8</v>
      </c>
      <c r="AC84" s="13">
        <f t="shared" si="60"/>
        <v>37</v>
      </c>
      <c r="AD84" s="9">
        <f t="shared" si="61"/>
        <v>0</v>
      </c>
      <c r="AE84" s="13">
        <f t="shared" si="62"/>
        <v>120</v>
      </c>
      <c r="AF84" s="13">
        <f t="shared" si="63"/>
        <v>52</v>
      </c>
      <c r="AG84" s="27">
        <f t="shared" si="23"/>
        <v>96.304000000000002</v>
      </c>
      <c r="AH84" s="29">
        <f t="shared" si="24"/>
        <v>359.8</v>
      </c>
      <c r="AI84" s="29">
        <f t="shared" si="25"/>
        <v>359.8</v>
      </c>
      <c r="AJ84" s="29">
        <f t="shared" si="26"/>
        <v>359.8</v>
      </c>
      <c r="AK84" s="27">
        <f t="shared" si="27"/>
        <v>86.650000000000034</v>
      </c>
      <c r="AL84" s="27">
        <f t="shared" si="28"/>
        <v>86.650000000000034</v>
      </c>
      <c r="AM84" s="27">
        <f t="shared" si="29"/>
        <v>86.650000000000034</v>
      </c>
      <c r="AP84" s="10">
        <f t="shared" si="30"/>
        <v>-81.8</v>
      </c>
      <c r="AQ84" s="13">
        <f t="shared" si="31"/>
        <v>15420</v>
      </c>
      <c r="AR84" s="10">
        <f t="shared" si="32"/>
        <v>-75.5</v>
      </c>
      <c r="AS84" s="13">
        <f t="shared" si="33"/>
        <v>15420</v>
      </c>
      <c r="AV84" s="13">
        <f t="shared" si="34"/>
        <v>123</v>
      </c>
      <c r="AW84" s="13">
        <f t="shared" si="35"/>
        <v>15420</v>
      </c>
      <c r="AY84" s="13">
        <f t="shared" si="36"/>
        <v>37</v>
      </c>
      <c r="AZ84" s="13">
        <f t="shared" si="37"/>
        <v>15420</v>
      </c>
      <c r="BA84" s="13"/>
      <c r="BB84" s="13"/>
      <c r="BC84" s="10">
        <f t="shared" si="38"/>
        <v>6.2999999999999972</v>
      </c>
      <c r="BD84" s="10">
        <f t="shared" si="39"/>
        <v>6.2999999999999972</v>
      </c>
      <c r="BE84" s="13">
        <f t="shared" si="40"/>
        <v>15420</v>
      </c>
      <c r="BG84" s="9">
        <f t="shared" si="41"/>
        <v>0</v>
      </c>
      <c r="BH84" s="13">
        <f t="shared" si="42"/>
        <v>15420</v>
      </c>
      <c r="BJ84" s="13">
        <f t="shared" si="43"/>
        <v>120</v>
      </c>
      <c r="BK84" s="13">
        <f t="shared" si="44"/>
        <v>15420</v>
      </c>
      <c r="BL84" s="13"/>
      <c r="BM84" s="13">
        <f t="shared" si="45"/>
        <v>96.304000000000002</v>
      </c>
      <c r="BN84" s="13">
        <f t="shared" si="46"/>
        <v>15420</v>
      </c>
      <c r="BO84" s="13"/>
      <c r="BP84" s="13"/>
      <c r="BQ84" s="10"/>
      <c r="BR84" s="10">
        <f t="shared" si="54"/>
        <v>-8.3999999999999986</v>
      </c>
      <c r="BS84">
        <v>5600</v>
      </c>
      <c r="BT84" s="13"/>
      <c r="BV84" s="25">
        <f t="shared" si="64"/>
        <v>498.32807700549012</v>
      </c>
      <c r="BW84">
        <v>5600</v>
      </c>
      <c r="BX84" s="13"/>
      <c r="BZ84" s="10">
        <f t="shared" si="65"/>
        <v>-75.5</v>
      </c>
      <c r="CA84" s="13">
        <f t="shared" si="66"/>
        <v>123</v>
      </c>
      <c r="CB84" s="9">
        <f t="shared" si="67"/>
        <v>-81.8</v>
      </c>
      <c r="CC84" s="13">
        <f t="shared" si="68"/>
        <v>123</v>
      </c>
      <c r="CD84">
        <f t="shared" si="48"/>
        <v>15420</v>
      </c>
      <c r="CE84" s="13">
        <f t="shared" si="49"/>
        <v>123</v>
      </c>
      <c r="CF84" s="13"/>
      <c r="CV84" s="9">
        <f t="shared" si="55"/>
        <v>0.21678969684652266</v>
      </c>
      <c r="CW84" s="9">
        <f t="shared" si="50"/>
        <v>0</v>
      </c>
      <c r="CX84" s="9"/>
      <c r="CY84" s="9">
        <f t="shared" si="51"/>
        <v>0.21678969684652266</v>
      </c>
      <c r="CZ84" s="9">
        <f t="shared" si="52"/>
        <v>0</v>
      </c>
    </row>
    <row r="85" spans="1:104" x14ac:dyDescent="0.25">
      <c r="A85" s="8"/>
      <c r="B85" s="21" t="str">
        <f>'Eingabe Diagramme'!B78</f>
        <v xml:space="preserve">  112.0  15962  -77.1  -87.1     19   0.00    103     35  366.4  366.5  366.4</v>
      </c>
      <c r="C85" s="19"/>
      <c r="D85" s="19"/>
      <c r="E85" s="19"/>
      <c r="F85" s="19"/>
      <c r="G85" s="19"/>
      <c r="H85" s="19"/>
      <c r="I85" s="20"/>
      <c r="J85" s="19"/>
      <c r="K85" s="19"/>
      <c r="L85" s="11" t="str">
        <f t="shared" si="53"/>
        <v xml:space="preserve">  112.0</v>
      </c>
      <c r="M85" s="11" t="str">
        <f t="shared" si="1"/>
        <v>15962</v>
      </c>
      <c r="N85" s="11" t="str">
        <f t="shared" si="2"/>
        <v>-77.1</v>
      </c>
      <c r="O85" s="11" t="str">
        <f t="shared" si="3"/>
        <v>-87.1</v>
      </c>
      <c r="P85" s="11" t="str">
        <f t="shared" si="4"/>
        <v xml:space="preserve"> 19</v>
      </c>
      <c r="Q85" s="11" t="str">
        <f t="shared" si="5"/>
        <v xml:space="preserve"> 0.00</v>
      </c>
      <c r="R85" s="11" t="str">
        <f t="shared" si="6"/>
        <v>103</v>
      </c>
      <c r="S85" s="11" t="str">
        <f t="shared" si="19"/>
        <v xml:space="preserve"> 35</v>
      </c>
      <c r="T85" s="11" t="str">
        <f t="shared" si="20"/>
        <v>366.4</v>
      </c>
      <c r="U85" s="11" t="str">
        <f t="shared" si="21"/>
        <v>366.5</v>
      </c>
      <c r="V85" s="11" t="str">
        <f t="shared" si="22"/>
        <v>366.4</v>
      </c>
      <c r="W85" s="11"/>
      <c r="Y85" s="13">
        <f t="shared" si="56"/>
        <v>112</v>
      </c>
      <c r="Z85" s="13">
        <f t="shared" si="57"/>
        <v>15962</v>
      </c>
      <c r="AA85" s="10">
        <f t="shared" si="58"/>
        <v>-77.099999999999994</v>
      </c>
      <c r="AB85" s="10">
        <f t="shared" si="59"/>
        <v>-87.1</v>
      </c>
      <c r="AC85" s="13">
        <f t="shared" si="60"/>
        <v>19</v>
      </c>
      <c r="AD85" s="9">
        <f t="shared" si="61"/>
        <v>0</v>
      </c>
      <c r="AE85" s="13">
        <f t="shared" si="62"/>
        <v>103</v>
      </c>
      <c r="AF85" s="13">
        <f t="shared" si="63"/>
        <v>35</v>
      </c>
      <c r="AG85" s="27">
        <f t="shared" si="23"/>
        <v>64.820000000000007</v>
      </c>
      <c r="AH85" s="29">
        <f t="shared" si="24"/>
        <v>366.4</v>
      </c>
      <c r="AI85" s="29">
        <f t="shared" si="25"/>
        <v>366.5</v>
      </c>
      <c r="AJ85" s="29">
        <f t="shared" si="26"/>
        <v>366.4</v>
      </c>
      <c r="AK85" s="27">
        <f t="shared" si="27"/>
        <v>93.25</v>
      </c>
      <c r="AL85" s="27">
        <f t="shared" si="28"/>
        <v>93.350000000000023</v>
      </c>
      <c r="AM85" s="27">
        <f t="shared" si="29"/>
        <v>93.25</v>
      </c>
      <c r="AP85" s="10">
        <f t="shared" si="30"/>
        <v>-87.1</v>
      </c>
      <c r="AQ85" s="13">
        <f t="shared" si="31"/>
        <v>15962</v>
      </c>
      <c r="AR85" s="10">
        <f t="shared" si="32"/>
        <v>-77.099999999999994</v>
      </c>
      <c r="AS85" s="13">
        <f t="shared" si="33"/>
        <v>15962</v>
      </c>
      <c r="AV85" s="13">
        <f t="shared" si="34"/>
        <v>112</v>
      </c>
      <c r="AW85" s="13">
        <f t="shared" si="35"/>
        <v>15962</v>
      </c>
      <c r="AY85" s="13">
        <f t="shared" si="36"/>
        <v>19</v>
      </c>
      <c r="AZ85" s="13">
        <f t="shared" si="37"/>
        <v>15962</v>
      </c>
      <c r="BA85" s="13"/>
      <c r="BB85" s="13"/>
      <c r="BC85" s="10">
        <f t="shared" si="38"/>
        <v>10</v>
      </c>
      <c r="BD85" s="10">
        <f t="shared" si="39"/>
        <v>10</v>
      </c>
      <c r="BE85" s="13">
        <f t="shared" si="40"/>
        <v>15962</v>
      </c>
      <c r="BG85" s="9">
        <f t="shared" si="41"/>
        <v>0</v>
      </c>
      <c r="BH85" s="13">
        <f t="shared" si="42"/>
        <v>15962</v>
      </c>
      <c r="BJ85" s="13">
        <f t="shared" si="43"/>
        <v>103</v>
      </c>
      <c r="BK85" s="13">
        <f t="shared" si="44"/>
        <v>15962</v>
      </c>
      <c r="BL85" s="13"/>
      <c r="BM85" s="13">
        <f t="shared" si="45"/>
        <v>64.820000000000007</v>
      </c>
      <c r="BN85" s="13">
        <f t="shared" si="46"/>
        <v>15962</v>
      </c>
      <c r="BO85" s="13"/>
      <c r="BP85" s="13"/>
      <c r="BQ85" s="10"/>
      <c r="BR85" s="10">
        <f t="shared" si="54"/>
        <v>-9.0499999999999972</v>
      </c>
      <c r="BS85">
        <v>5700</v>
      </c>
      <c r="BT85" s="13"/>
      <c r="BV85" s="25">
        <f t="shared" si="64"/>
        <v>491.60378618626652</v>
      </c>
      <c r="BW85">
        <v>5700</v>
      </c>
      <c r="BX85" s="13"/>
      <c r="BZ85" s="10">
        <f t="shared" si="65"/>
        <v>-77.099999999999994</v>
      </c>
      <c r="CA85" s="13">
        <f t="shared" si="66"/>
        <v>112</v>
      </c>
      <c r="CB85" s="9">
        <f t="shared" si="67"/>
        <v>-87.1</v>
      </c>
      <c r="CC85" s="13">
        <f t="shared" si="68"/>
        <v>112</v>
      </c>
      <c r="CD85">
        <f t="shared" si="48"/>
        <v>15962</v>
      </c>
      <c r="CE85" s="13">
        <f t="shared" si="49"/>
        <v>112</v>
      </c>
      <c r="CF85" s="13"/>
      <c r="CV85" s="9">
        <f t="shared" si="55"/>
        <v>0.19901303430359776</v>
      </c>
      <c r="CW85" s="9">
        <f t="shared" si="50"/>
        <v>0</v>
      </c>
      <c r="CX85" s="9"/>
      <c r="CY85" s="9">
        <f t="shared" si="51"/>
        <v>0.19901303430359776</v>
      </c>
      <c r="CZ85" s="9">
        <f t="shared" si="52"/>
        <v>0</v>
      </c>
    </row>
    <row r="86" spans="1:104" x14ac:dyDescent="0.25">
      <c r="A86" s="8"/>
      <c r="B86" s="21" t="str">
        <f>'Eingabe Diagramme'!B79</f>
        <v xml:space="preserve">  110.0  16065  -77.4  -87.0     21   0.00    100     32  367.8  367.8  367.8</v>
      </c>
      <c r="C86" s="19"/>
      <c r="D86" s="19"/>
      <c r="E86" s="19"/>
      <c r="F86" s="19"/>
      <c r="G86" s="19"/>
      <c r="H86" s="19"/>
      <c r="I86" s="20"/>
      <c r="J86" s="19"/>
      <c r="K86" s="19"/>
      <c r="L86" s="11" t="str">
        <f t="shared" si="53"/>
        <v xml:space="preserve">  110.0</v>
      </c>
      <c r="M86" s="11" t="str">
        <f t="shared" si="1"/>
        <v>16065</v>
      </c>
      <c r="N86" s="11" t="str">
        <f t="shared" si="2"/>
        <v>-77.4</v>
      </c>
      <c r="O86" s="11" t="str">
        <f t="shared" si="3"/>
        <v>-87.0</v>
      </c>
      <c r="P86" s="11" t="str">
        <f t="shared" si="4"/>
        <v xml:space="preserve"> 21</v>
      </c>
      <c r="Q86" s="11" t="str">
        <f t="shared" si="5"/>
        <v xml:space="preserve"> 0.00</v>
      </c>
      <c r="R86" s="11" t="str">
        <f t="shared" si="6"/>
        <v>100</v>
      </c>
      <c r="S86" s="11" t="str">
        <f t="shared" si="19"/>
        <v xml:space="preserve"> 32</v>
      </c>
      <c r="T86" s="11" t="str">
        <f t="shared" si="20"/>
        <v>367.8</v>
      </c>
      <c r="U86" s="11" t="str">
        <f t="shared" si="21"/>
        <v>367.8</v>
      </c>
      <c r="V86" s="11" t="str">
        <f t="shared" si="22"/>
        <v>367.8</v>
      </c>
      <c r="W86" s="11"/>
      <c r="Y86" s="13">
        <f t="shared" si="56"/>
        <v>110</v>
      </c>
      <c r="Z86" s="13">
        <f t="shared" si="57"/>
        <v>16065</v>
      </c>
      <c r="AA86" s="10">
        <f t="shared" si="58"/>
        <v>-77.400000000000006</v>
      </c>
      <c r="AB86" s="10">
        <f t="shared" si="59"/>
        <v>-87</v>
      </c>
      <c r="AC86" s="13">
        <f t="shared" si="60"/>
        <v>21</v>
      </c>
      <c r="AD86" s="9">
        <f t="shared" si="61"/>
        <v>0</v>
      </c>
      <c r="AE86" s="13">
        <f t="shared" si="62"/>
        <v>100</v>
      </c>
      <c r="AF86" s="13">
        <f t="shared" si="63"/>
        <v>32</v>
      </c>
      <c r="AG86" s="27">
        <f t="shared" si="23"/>
        <v>59.264000000000003</v>
      </c>
      <c r="AH86" s="29">
        <f t="shared" si="24"/>
        <v>367.8</v>
      </c>
      <c r="AI86" s="29">
        <f t="shared" si="25"/>
        <v>367.8</v>
      </c>
      <c r="AJ86" s="29">
        <f t="shared" si="26"/>
        <v>367.8</v>
      </c>
      <c r="AK86" s="27">
        <f t="shared" si="27"/>
        <v>94.650000000000034</v>
      </c>
      <c r="AL86" s="27">
        <f t="shared" si="28"/>
        <v>94.650000000000034</v>
      </c>
      <c r="AM86" s="27">
        <f t="shared" si="29"/>
        <v>94.650000000000034</v>
      </c>
      <c r="AP86" s="10">
        <f t="shared" si="30"/>
        <v>-87</v>
      </c>
      <c r="AQ86" s="13">
        <f t="shared" si="31"/>
        <v>16065</v>
      </c>
      <c r="AR86" s="10">
        <f t="shared" si="32"/>
        <v>-77.400000000000006</v>
      </c>
      <c r="AS86" s="13">
        <f t="shared" si="33"/>
        <v>16065</v>
      </c>
      <c r="AV86" s="13">
        <f t="shared" si="34"/>
        <v>110</v>
      </c>
      <c r="AW86" s="13">
        <f t="shared" si="35"/>
        <v>16065</v>
      </c>
      <c r="AY86" s="13">
        <f t="shared" si="36"/>
        <v>21</v>
      </c>
      <c r="AZ86" s="13">
        <f t="shared" si="37"/>
        <v>16065</v>
      </c>
      <c r="BA86" s="13"/>
      <c r="BB86" s="13"/>
      <c r="BC86" s="10">
        <f t="shared" si="38"/>
        <v>9.5999999999999943</v>
      </c>
      <c r="BD86" s="10">
        <f t="shared" si="39"/>
        <v>9.5999999999999943</v>
      </c>
      <c r="BE86" s="13">
        <f t="shared" si="40"/>
        <v>16065</v>
      </c>
      <c r="BG86" s="9">
        <f t="shared" si="41"/>
        <v>0</v>
      </c>
      <c r="BH86" s="13">
        <f t="shared" si="42"/>
        <v>16065</v>
      </c>
      <c r="BJ86" s="13">
        <f t="shared" si="43"/>
        <v>100</v>
      </c>
      <c r="BK86" s="13">
        <f t="shared" si="44"/>
        <v>16065</v>
      </c>
      <c r="BL86" s="13"/>
      <c r="BM86" s="13">
        <f t="shared" si="45"/>
        <v>59.264000000000003</v>
      </c>
      <c r="BN86" s="13">
        <f t="shared" si="46"/>
        <v>16065</v>
      </c>
      <c r="BO86" s="13"/>
      <c r="BP86" s="13"/>
      <c r="BQ86" s="10"/>
      <c r="BR86" s="10">
        <f t="shared" si="54"/>
        <v>-9.6999999999999957</v>
      </c>
      <c r="BS86">
        <v>5800</v>
      </c>
      <c r="BT86" s="13"/>
      <c r="BV86" s="25">
        <f t="shared" si="64"/>
        <v>484.95315381636556</v>
      </c>
      <c r="BW86">
        <v>5800</v>
      </c>
      <c r="BX86" s="13"/>
      <c r="BZ86" s="10">
        <f t="shared" si="65"/>
        <v>-77.400000000000006</v>
      </c>
      <c r="CA86" s="13">
        <f t="shared" si="66"/>
        <v>110</v>
      </c>
      <c r="CB86" s="9">
        <f t="shared" si="67"/>
        <v>-87</v>
      </c>
      <c r="CC86" s="13">
        <f t="shared" si="68"/>
        <v>110</v>
      </c>
      <c r="CD86">
        <f t="shared" si="48"/>
        <v>16065</v>
      </c>
      <c r="CE86" s="13">
        <f t="shared" si="49"/>
        <v>110</v>
      </c>
      <c r="CF86" s="13"/>
      <c r="CV86" s="9">
        <f t="shared" si="55"/>
        <v>0.19575878449526721</v>
      </c>
      <c r="CW86" s="9">
        <f t="shared" si="50"/>
        <v>0</v>
      </c>
      <c r="CX86" s="9"/>
      <c r="CY86" s="9">
        <f t="shared" si="51"/>
        <v>0.19575878449526721</v>
      </c>
      <c r="CZ86" s="9">
        <f t="shared" si="52"/>
        <v>0</v>
      </c>
    </row>
    <row r="87" spans="1:104" x14ac:dyDescent="0.25">
      <c r="A87" s="8"/>
      <c r="B87" s="21" t="str">
        <f>'Eingabe Diagramme'!B80</f>
        <v xml:space="preserve">  104.0  16386  -78.3  -86.6     26   0.00     80     39  371.9  371.9  371.9</v>
      </c>
      <c r="C87" s="19"/>
      <c r="D87" s="19"/>
      <c r="E87" s="19"/>
      <c r="F87" s="19"/>
      <c r="G87" s="19"/>
      <c r="H87" s="19"/>
      <c r="I87" s="20"/>
      <c r="J87" s="19"/>
      <c r="K87" s="19"/>
      <c r="L87" s="11" t="str">
        <f t="shared" si="53"/>
        <v xml:space="preserve">  104.0</v>
      </c>
      <c r="M87" s="11" t="str">
        <f t="shared" si="1"/>
        <v>16386</v>
      </c>
      <c r="N87" s="11" t="str">
        <f t="shared" si="2"/>
        <v>-78.3</v>
      </c>
      <c r="O87" s="11" t="str">
        <f t="shared" si="3"/>
        <v>-86.6</v>
      </c>
      <c r="P87" s="11" t="str">
        <f t="shared" si="4"/>
        <v xml:space="preserve"> 26</v>
      </c>
      <c r="Q87" s="11" t="str">
        <f t="shared" si="5"/>
        <v xml:space="preserve"> 0.00</v>
      </c>
      <c r="R87" s="11" t="str">
        <f t="shared" si="6"/>
        <v xml:space="preserve"> 80</v>
      </c>
      <c r="S87" s="11" t="str">
        <f t="shared" si="19"/>
        <v xml:space="preserve"> 39</v>
      </c>
      <c r="T87" s="11" t="str">
        <f t="shared" si="20"/>
        <v>371.9</v>
      </c>
      <c r="U87" s="11" t="str">
        <f t="shared" si="21"/>
        <v>371.9</v>
      </c>
      <c r="V87" s="11" t="str">
        <f t="shared" si="22"/>
        <v>371.9</v>
      </c>
      <c r="W87" s="11"/>
      <c r="Y87" s="13">
        <f t="shared" si="56"/>
        <v>104</v>
      </c>
      <c r="Z87" s="13">
        <f t="shared" si="57"/>
        <v>16386</v>
      </c>
      <c r="AA87" s="10">
        <f t="shared" si="58"/>
        <v>-78.3</v>
      </c>
      <c r="AB87" s="10">
        <f t="shared" si="59"/>
        <v>-86.6</v>
      </c>
      <c r="AC87" s="13">
        <f t="shared" si="60"/>
        <v>26</v>
      </c>
      <c r="AD87" s="9">
        <f t="shared" si="61"/>
        <v>0</v>
      </c>
      <c r="AE87" s="13">
        <f t="shared" si="62"/>
        <v>80</v>
      </c>
      <c r="AF87" s="13">
        <f t="shared" si="63"/>
        <v>39</v>
      </c>
      <c r="AG87" s="27">
        <f t="shared" si="23"/>
        <v>72.228000000000009</v>
      </c>
      <c r="AH87" s="29">
        <f t="shared" si="24"/>
        <v>371.9</v>
      </c>
      <c r="AI87" s="29">
        <f t="shared" si="25"/>
        <v>371.9</v>
      </c>
      <c r="AJ87" s="29">
        <f t="shared" si="26"/>
        <v>371.9</v>
      </c>
      <c r="AK87" s="27">
        <f t="shared" si="27"/>
        <v>98.75</v>
      </c>
      <c r="AL87" s="27">
        <f t="shared" si="28"/>
        <v>98.75</v>
      </c>
      <c r="AM87" s="27">
        <f t="shared" si="29"/>
        <v>98.75</v>
      </c>
      <c r="AP87" s="10">
        <f t="shared" si="30"/>
        <v>-86.6</v>
      </c>
      <c r="AQ87" s="13">
        <f t="shared" si="31"/>
        <v>16386</v>
      </c>
      <c r="AR87" s="10">
        <f t="shared" si="32"/>
        <v>-78.3</v>
      </c>
      <c r="AS87" s="13">
        <f t="shared" si="33"/>
        <v>16386</v>
      </c>
      <c r="AV87" s="13">
        <f t="shared" si="34"/>
        <v>104</v>
      </c>
      <c r="AW87" s="13">
        <f t="shared" si="35"/>
        <v>16386</v>
      </c>
      <c r="AY87" s="13">
        <f t="shared" si="36"/>
        <v>26</v>
      </c>
      <c r="AZ87" s="13">
        <f t="shared" si="37"/>
        <v>16386</v>
      </c>
      <c r="BA87" s="13"/>
      <c r="BB87" s="13"/>
      <c r="BC87" s="10">
        <f t="shared" si="38"/>
        <v>8.2999999999999972</v>
      </c>
      <c r="BD87" s="10">
        <f t="shared" si="39"/>
        <v>8.2999999999999972</v>
      </c>
      <c r="BE87" s="13">
        <f t="shared" si="40"/>
        <v>16386</v>
      </c>
      <c r="BG87" s="9">
        <f t="shared" si="41"/>
        <v>0</v>
      </c>
      <c r="BH87" s="13">
        <f t="shared" si="42"/>
        <v>16386</v>
      </c>
      <c r="BJ87" s="13">
        <f t="shared" si="43"/>
        <v>80</v>
      </c>
      <c r="BK87" s="13">
        <f t="shared" si="44"/>
        <v>16386</v>
      </c>
      <c r="BL87" s="13"/>
      <c r="BM87" s="13">
        <f t="shared" si="45"/>
        <v>72.228000000000009</v>
      </c>
      <c r="BN87" s="13">
        <f t="shared" si="46"/>
        <v>16386</v>
      </c>
      <c r="BO87" s="13"/>
      <c r="BP87" s="13"/>
      <c r="BQ87" s="10"/>
      <c r="BR87" s="10">
        <f t="shared" si="54"/>
        <v>-10.350000000000001</v>
      </c>
      <c r="BS87">
        <v>5900</v>
      </c>
      <c r="BT87" s="13"/>
      <c r="BV87" s="25">
        <f t="shared" si="64"/>
        <v>478.37556106618172</v>
      </c>
      <c r="BW87">
        <v>5900</v>
      </c>
      <c r="BX87" s="13"/>
      <c r="BZ87" s="10">
        <f t="shared" si="65"/>
        <v>-78.3</v>
      </c>
      <c r="CA87" s="13">
        <f t="shared" si="66"/>
        <v>104</v>
      </c>
      <c r="CB87" s="9">
        <f t="shared" si="67"/>
        <v>-86.6</v>
      </c>
      <c r="CC87" s="13">
        <f t="shared" si="68"/>
        <v>104</v>
      </c>
      <c r="CD87">
        <f t="shared" si="48"/>
        <v>16386</v>
      </c>
      <c r="CE87" s="13">
        <f t="shared" si="49"/>
        <v>104</v>
      </c>
      <c r="CF87" s="13"/>
      <c r="CV87" s="9">
        <f t="shared" si="55"/>
        <v>0.18593591036250029</v>
      </c>
      <c r="CW87" s="9">
        <f t="shared" si="50"/>
        <v>0</v>
      </c>
      <c r="CX87" s="9"/>
      <c r="CY87" s="9">
        <f t="shared" si="51"/>
        <v>0.18593591036250029</v>
      </c>
      <c r="CZ87" s="9">
        <f t="shared" si="52"/>
        <v>0</v>
      </c>
    </row>
    <row r="88" spans="1:104" x14ac:dyDescent="0.25">
      <c r="A88" s="8"/>
      <c r="B88" s="21" t="str">
        <f>'Eingabe Diagramme'!B81</f>
        <v xml:space="preserve">  103.0  16441  -78.5  -86.5     26   0.00     85     37  372.6  372.7  372.6</v>
      </c>
      <c r="C88" s="19"/>
      <c r="D88" s="19"/>
      <c r="E88" s="19"/>
      <c r="F88" s="19"/>
      <c r="G88" s="19"/>
      <c r="H88" s="19"/>
      <c r="I88" s="20"/>
      <c r="J88" s="19"/>
      <c r="K88" s="19"/>
      <c r="L88" s="11" t="str">
        <f t="shared" si="53"/>
        <v xml:space="preserve">  103.0</v>
      </c>
      <c r="M88" s="11" t="str">
        <f t="shared" si="1"/>
        <v>16441</v>
      </c>
      <c r="N88" s="11" t="str">
        <f t="shared" si="2"/>
        <v>-78.5</v>
      </c>
      <c r="O88" s="11" t="str">
        <f t="shared" si="3"/>
        <v>-86.5</v>
      </c>
      <c r="P88" s="11" t="str">
        <f t="shared" si="4"/>
        <v xml:space="preserve"> 26</v>
      </c>
      <c r="Q88" s="11" t="str">
        <f t="shared" si="5"/>
        <v xml:space="preserve"> 0.00</v>
      </c>
      <c r="R88" s="11" t="str">
        <f t="shared" si="6"/>
        <v xml:space="preserve"> 85</v>
      </c>
      <c r="S88" s="11" t="str">
        <f t="shared" si="19"/>
        <v xml:space="preserve"> 37</v>
      </c>
      <c r="T88" s="11" t="str">
        <f t="shared" si="20"/>
        <v>372.6</v>
      </c>
      <c r="U88" s="11" t="str">
        <f t="shared" si="21"/>
        <v>372.7</v>
      </c>
      <c r="V88" s="11" t="str">
        <f t="shared" si="22"/>
        <v>372.6</v>
      </c>
      <c r="W88" s="11"/>
      <c r="Y88" s="13">
        <f t="shared" si="56"/>
        <v>103</v>
      </c>
      <c r="Z88" s="13">
        <f t="shared" si="57"/>
        <v>16441</v>
      </c>
      <c r="AA88" s="10">
        <f t="shared" si="58"/>
        <v>-78.5</v>
      </c>
      <c r="AB88" s="10">
        <f t="shared" si="59"/>
        <v>-86.5</v>
      </c>
      <c r="AC88" s="13">
        <f t="shared" si="60"/>
        <v>26</v>
      </c>
      <c r="AD88" s="9">
        <f t="shared" si="61"/>
        <v>0</v>
      </c>
      <c r="AE88" s="13">
        <f t="shared" si="62"/>
        <v>85</v>
      </c>
      <c r="AF88" s="13">
        <f t="shared" si="63"/>
        <v>37</v>
      </c>
      <c r="AG88" s="27">
        <f t="shared" si="23"/>
        <v>68.524000000000001</v>
      </c>
      <c r="AH88" s="29">
        <f t="shared" si="24"/>
        <v>372.6</v>
      </c>
      <c r="AI88" s="29">
        <f t="shared" si="25"/>
        <v>372.7</v>
      </c>
      <c r="AJ88" s="29">
        <f t="shared" si="26"/>
        <v>372.6</v>
      </c>
      <c r="AK88" s="27">
        <f t="shared" si="27"/>
        <v>99.450000000000045</v>
      </c>
      <c r="AL88" s="27">
        <f t="shared" si="28"/>
        <v>99.550000000000011</v>
      </c>
      <c r="AM88" s="27">
        <f t="shared" si="29"/>
        <v>99.450000000000045</v>
      </c>
      <c r="AP88" s="10">
        <f t="shared" si="30"/>
        <v>-86.5</v>
      </c>
      <c r="AQ88" s="13">
        <f t="shared" si="31"/>
        <v>16441</v>
      </c>
      <c r="AR88" s="10">
        <f t="shared" si="32"/>
        <v>-78.5</v>
      </c>
      <c r="AS88" s="13">
        <f t="shared" si="33"/>
        <v>16441</v>
      </c>
      <c r="AV88" s="13">
        <f t="shared" si="34"/>
        <v>103</v>
      </c>
      <c r="AW88" s="13">
        <f t="shared" si="35"/>
        <v>16441</v>
      </c>
      <c r="AY88" s="13">
        <f t="shared" si="36"/>
        <v>26</v>
      </c>
      <c r="AZ88" s="13">
        <f t="shared" si="37"/>
        <v>16441</v>
      </c>
      <c r="BA88" s="13"/>
      <c r="BB88" s="13"/>
      <c r="BC88" s="10">
        <f t="shared" si="38"/>
        <v>8</v>
      </c>
      <c r="BD88" s="10">
        <f t="shared" si="39"/>
        <v>8</v>
      </c>
      <c r="BE88" s="13">
        <f t="shared" si="40"/>
        <v>16441</v>
      </c>
      <c r="BG88" s="9">
        <f t="shared" si="41"/>
        <v>0</v>
      </c>
      <c r="BH88" s="13">
        <f t="shared" si="42"/>
        <v>16441</v>
      </c>
      <c r="BJ88" s="13">
        <f t="shared" si="43"/>
        <v>85</v>
      </c>
      <c r="BK88" s="13">
        <f t="shared" si="44"/>
        <v>16441</v>
      </c>
      <c r="BL88" s="13"/>
      <c r="BM88" s="13">
        <f t="shared" si="45"/>
        <v>68.524000000000001</v>
      </c>
      <c r="BN88" s="13">
        <f t="shared" si="46"/>
        <v>16441</v>
      </c>
      <c r="BO88" s="13"/>
      <c r="BP88" s="13"/>
      <c r="BQ88" s="10"/>
      <c r="BR88" s="10">
        <f t="shared" si="54"/>
        <v>-11</v>
      </c>
      <c r="BS88">
        <v>6000</v>
      </c>
      <c r="BT88" s="13"/>
      <c r="BV88" s="25">
        <f t="shared" si="64"/>
        <v>471.87039271720613</v>
      </c>
      <c r="BW88">
        <v>6000</v>
      </c>
      <c r="BX88" s="13"/>
      <c r="BZ88" s="10">
        <f t="shared" si="65"/>
        <v>-78.5</v>
      </c>
      <c r="CA88" s="13">
        <f t="shared" si="66"/>
        <v>103</v>
      </c>
      <c r="CB88" s="9">
        <f t="shared" si="67"/>
        <v>-86.5</v>
      </c>
      <c r="CC88" s="13">
        <f t="shared" si="68"/>
        <v>103</v>
      </c>
      <c r="CD88">
        <f t="shared" si="48"/>
        <v>16441</v>
      </c>
      <c r="CE88" s="13">
        <f t="shared" si="49"/>
        <v>103</v>
      </c>
      <c r="CF88" s="13"/>
      <c r="CV88" s="9">
        <f t="shared" si="55"/>
        <v>0.18433727448752779</v>
      </c>
      <c r="CW88" s="9">
        <f t="shared" si="50"/>
        <v>0</v>
      </c>
      <c r="CX88" s="9"/>
      <c r="CY88" s="9">
        <f t="shared" si="51"/>
        <v>0.18433727448752779</v>
      </c>
      <c r="CZ88" s="9">
        <f t="shared" si="52"/>
        <v>0</v>
      </c>
    </row>
    <row r="89" spans="1:104" x14ac:dyDescent="0.25">
      <c r="A89" s="8"/>
      <c r="B89" s="21" t="str">
        <f>'Eingabe Diagramme'!B82</f>
        <v xml:space="preserve">  100.0  16610  -77.9  -86.9     22   0.00    100     22  377.0  377.0  377.0</v>
      </c>
      <c r="C89" s="19"/>
      <c r="D89" s="19"/>
      <c r="E89" s="19"/>
      <c r="F89" s="19"/>
      <c r="G89" s="19"/>
      <c r="H89" s="19"/>
      <c r="I89" s="20"/>
      <c r="J89" s="19"/>
      <c r="K89" s="19"/>
      <c r="L89" s="11" t="str">
        <f t="shared" si="53"/>
        <v xml:space="preserve">  100.0</v>
      </c>
      <c r="M89" s="11" t="str">
        <f t="shared" si="1"/>
        <v>16610</v>
      </c>
      <c r="N89" s="11" t="str">
        <f t="shared" si="2"/>
        <v>-77.9</v>
      </c>
      <c r="O89" s="11" t="str">
        <f t="shared" si="3"/>
        <v>-86.9</v>
      </c>
      <c r="P89" s="11" t="str">
        <f t="shared" si="4"/>
        <v xml:space="preserve"> 22</v>
      </c>
      <c r="Q89" s="11" t="str">
        <f t="shared" si="5"/>
        <v xml:space="preserve"> 0.00</v>
      </c>
      <c r="R89" s="11" t="str">
        <f t="shared" si="6"/>
        <v>100</v>
      </c>
      <c r="S89" s="11" t="str">
        <f t="shared" si="19"/>
        <v xml:space="preserve"> 22</v>
      </c>
      <c r="T89" s="11" t="str">
        <f t="shared" si="20"/>
        <v>377.0</v>
      </c>
      <c r="U89" s="11" t="str">
        <f t="shared" si="21"/>
        <v>377.0</v>
      </c>
      <c r="V89" s="11" t="str">
        <f t="shared" si="22"/>
        <v>377.0</v>
      </c>
      <c r="W89" s="11"/>
      <c r="Y89" s="13">
        <f t="shared" si="56"/>
        <v>100</v>
      </c>
      <c r="Z89" s="13">
        <f t="shared" si="57"/>
        <v>16610</v>
      </c>
      <c r="AA89" s="10">
        <f t="shared" si="58"/>
        <v>-77.900000000000006</v>
      </c>
      <c r="AB89" s="10">
        <f t="shared" si="59"/>
        <v>-86.9</v>
      </c>
      <c r="AC89" s="13">
        <f t="shared" si="60"/>
        <v>22</v>
      </c>
      <c r="AD89" s="9">
        <f t="shared" si="61"/>
        <v>0</v>
      </c>
      <c r="AE89" s="13">
        <f t="shared" si="62"/>
        <v>100</v>
      </c>
      <c r="AF89" s="13">
        <f t="shared" si="63"/>
        <v>22</v>
      </c>
      <c r="AG89" s="27">
        <f t="shared" si="23"/>
        <v>40.744</v>
      </c>
      <c r="AH89" s="29">
        <f t="shared" si="24"/>
        <v>377</v>
      </c>
      <c r="AI89" s="29">
        <f t="shared" si="25"/>
        <v>377</v>
      </c>
      <c r="AJ89" s="29">
        <f t="shared" si="26"/>
        <v>377</v>
      </c>
      <c r="AK89" s="27">
        <f t="shared" si="27"/>
        <v>103.85000000000002</v>
      </c>
      <c r="AL89" s="27">
        <f t="shared" si="28"/>
        <v>103.85000000000002</v>
      </c>
      <c r="AM89" s="27">
        <f t="shared" si="29"/>
        <v>103.85000000000002</v>
      </c>
      <c r="AP89" s="10">
        <f t="shared" si="30"/>
        <v>-86.9</v>
      </c>
      <c r="AQ89" s="13">
        <f t="shared" si="31"/>
        <v>16610</v>
      </c>
      <c r="AR89" s="10">
        <f t="shared" si="32"/>
        <v>-77.900000000000006</v>
      </c>
      <c r="AS89" s="13">
        <f t="shared" si="33"/>
        <v>16610</v>
      </c>
      <c r="AV89" s="13">
        <f t="shared" si="34"/>
        <v>100</v>
      </c>
      <c r="AW89" s="13">
        <f t="shared" si="35"/>
        <v>16610</v>
      </c>
      <c r="AY89" s="13">
        <f t="shared" si="36"/>
        <v>22</v>
      </c>
      <c r="AZ89" s="13">
        <f t="shared" si="37"/>
        <v>16610</v>
      </c>
      <c r="BA89" s="13"/>
      <c r="BB89" s="13"/>
      <c r="BC89" s="10">
        <f t="shared" si="38"/>
        <v>9</v>
      </c>
      <c r="BD89" s="10">
        <f t="shared" si="39"/>
        <v>9</v>
      </c>
      <c r="BE89" s="13">
        <f t="shared" si="40"/>
        <v>16610</v>
      </c>
      <c r="BG89" s="9">
        <f t="shared" si="41"/>
        <v>0</v>
      </c>
      <c r="BH89" s="13">
        <f t="shared" si="42"/>
        <v>16610</v>
      </c>
      <c r="BJ89" s="13">
        <f t="shared" si="43"/>
        <v>100</v>
      </c>
      <c r="BK89" s="13">
        <f t="shared" si="44"/>
        <v>16610</v>
      </c>
      <c r="BL89" s="13"/>
      <c r="BM89" s="13">
        <f t="shared" si="45"/>
        <v>40.744</v>
      </c>
      <c r="BN89" s="13">
        <f t="shared" si="46"/>
        <v>16610</v>
      </c>
      <c r="BO89" s="13"/>
      <c r="BP89" s="13"/>
      <c r="BQ89" s="10"/>
      <c r="BR89" s="10">
        <f t="shared" si="54"/>
        <v>-11.649999999999999</v>
      </c>
      <c r="BS89">
        <v>6100</v>
      </c>
      <c r="BT89" s="13"/>
      <c r="BV89" s="25">
        <f t="shared" si="64"/>
        <v>465.43703715026749</v>
      </c>
      <c r="BW89">
        <v>6100</v>
      </c>
      <c r="BX89" s="13"/>
      <c r="BZ89" s="10">
        <f t="shared" si="65"/>
        <v>-77.900000000000006</v>
      </c>
      <c r="CA89" s="13">
        <f t="shared" si="66"/>
        <v>100</v>
      </c>
      <c r="CB89" s="9">
        <f t="shared" si="67"/>
        <v>-86.9</v>
      </c>
      <c r="CC89" s="13">
        <f t="shared" si="68"/>
        <v>100</v>
      </c>
      <c r="CD89">
        <f t="shared" si="48"/>
        <v>16610</v>
      </c>
      <c r="CE89" s="13">
        <f t="shared" si="49"/>
        <v>100</v>
      </c>
      <c r="CF89" s="13"/>
      <c r="CV89" s="9">
        <f t="shared" si="55"/>
        <v>0.17841826127318616</v>
      </c>
      <c r="CW89" s="9">
        <f t="shared" si="50"/>
        <v>0</v>
      </c>
      <c r="CX89" s="9"/>
      <c r="CY89" s="9">
        <f t="shared" si="51"/>
        <v>0.17841826127318616</v>
      </c>
      <c r="CZ89" s="9">
        <f t="shared" si="52"/>
        <v>0</v>
      </c>
    </row>
    <row r="90" spans="1:104" x14ac:dyDescent="0.25">
      <c r="A90" s="8"/>
      <c r="B90" s="21" t="str">
        <f>'Eingabe Diagramme'!B83</f>
        <v xml:space="preserve">   97.0  16783  -78.3  -87.1     23   0.00    105     10  379.5  379.6  379.5</v>
      </c>
      <c r="C90" s="19"/>
      <c r="D90" s="19"/>
      <c r="E90" s="19"/>
      <c r="F90" s="19"/>
      <c r="G90" s="19"/>
      <c r="H90" s="19"/>
      <c r="I90" s="20"/>
      <c r="J90" s="19"/>
      <c r="K90" s="19"/>
      <c r="L90" s="11" t="str">
        <f t="shared" si="53"/>
        <v xml:space="preserve">   97.0</v>
      </c>
      <c r="M90" s="11" t="str">
        <f t="shared" si="1"/>
        <v>16783</v>
      </c>
      <c r="N90" s="11" t="str">
        <f t="shared" si="2"/>
        <v>-78.3</v>
      </c>
      <c r="O90" s="11" t="str">
        <f t="shared" si="3"/>
        <v>-87.1</v>
      </c>
      <c r="P90" s="11" t="str">
        <f t="shared" si="4"/>
        <v xml:space="preserve"> 23</v>
      </c>
      <c r="Q90" s="11" t="str">
        <f t="shared" si="5"/>
        <v xml:space="preserve"> 0.00</v>
      </c>
      <c r="R90" s="11" t="str">
        <f t="shared" si="6"/>
        <v>105</v>
      </c>
      <c r="S90" s="11" t="str">
        <f t="shared" si="19"/>
        <v xml:space="preserve"> 10</v>
      </c>
      <c r="T90" s="11" t="str">
        <f t="shared" si="20"/>
        <v>379.5</v>
      </c>
      <c r="U90" s="11" t="str">
        <f t="shared" si="21"/>
        <v>379.6</v>
      </c>
      <c r="V90" s="11" t="str">
        <f t="shared" si="22"/>
        <v>379.5</v>
      </c>
      <c r="W90" s="11"/>
      <c r="Y90" s="13">
        <f t="shared" si="56"/>
        <v>97</v>
      </c>
      <c r="Z90" s="13">
        <f t="shared" si="57"/>
        <v>16783</v>
      </c>
      <c r="AA90" s="10">
        <f t="shared" si="58"/>
        <v>-78.3</v>
      </c>
      <c r="AB90" s="10">
        <f t="shared" si="59"/>
        <v>-87.1</v>
      </c>
      <c r="AC90" s="13">
        <f t="shared" si="60"/>
        <v>23</v>
      </c>
      <c r="AD90" s="9">
        <f t="shared" si="61"/>
        <v>0</v>
      </c>
      <c r="AE90" s="13">
        <f t="shared" si="62"/>
        <v>105</v>
      </c>
      <c r="AF90" s="13">
        <f t="shared" si="63"/>
        <v>10</v>
      </c>
      <c r="AG90" s="27">
        <f t="shared" si="23"/>
        <v>18.52</v>
      </c>
      <c r="AH90" s="29">
        <f t="shared" si="24"/>
        <v>379.5</v>
      </c>
      <c r="AI90" s="29">
        <f t="shared" si="25"/>
        <v>379.6</v>
      </c>
      <c r="AJ90" s="29">
        <f t="shared" si="26"/>
        <v>379.5</v>
      </c>
      <c r="AK90" s="27">
        <f t="shared" si="27"/>
        <v>106.35000000000002</v>
      </c>
      <c r="AL90" s="27">
        <f t="shared" si="28"/>
        <v>106.45000000000005</v>
      </c>
      <c r="AM90" s="27">
        <f t="shared" si="29"/>
        <v>106.35000000000002</v>
      </c>
      <c r="AP90" s="10">
        <f t="shared" si="30"/>
        <v>-87.1</v>
      </c>
      <c r="AQ90" s="13">
        <f t="shared" si="31"/>
        <v>16783</v>
      </c>
      <c r="AR90" s="10">
        <f t="shared" si="32"/>
        <v>-78.3</v>
      </c>
      <c r="AS90" s="13">
        <f t="shared" si="33"/>
        <v>16783</v>
      </c>
      <c r="AV90" s="13">
        <f t="shared" si="34"/>
        <v>97</v>
      </c>
      <c r="AW90" s="13">
        <f t="shared" si="35"/>
        <v>16783</v>
      </c>
      <c r="AY90" s="13">
        <f t="shared" si="36"/>
        <v>23</v>
      </c>
      <c r="AZ90" s="13">
        <f t="shared" si="37"/>
        <v>16783</v>
      </c>
      <c r="BA90" s="13"/>
      <c r="BB90" s="13"/>
      <c r="BC90" s="10">
        <f t="shared" si="38"/>
        <v>8.7999999999999972</v>
      </c>
      <c r="BD90" s="10">
        <f t="shared" si="39"/>
        <v>8.7999999999999972</v>
      </c>
      <c r="BE90" s="13">
        <f t="shared" si="40"/>
        <v>16783</v>
      </c>
      <c r="BG90" s="9">
        <f t="shared" si="41"/>
        <v>0</v>
      </c>
      <c r="BH90" s="13">
        <f t="shared" si="42"/>
        <v>16783</v>
      </c>
      <c r="BJ90" s="13">
        <f t="shared" si="43"/>
        <v>105</v>
      </c>
      <c r="BK90" s="13">
        <f t="shared" si="44"/>
        <v>16783</v>
      </c>
      <c r="BL90" s="13"/>
      <c r="BM90" s="13">
        <f t="shared" si="45"/>
        <v>18.52</v>
      </c>
      <c r="BN90" s="13">
        <f t="shared" si="46"/>
        <v>16783</v>
      </c>
      <c r="BO90" s="13"/>
      <c r="BP90" s="13"/>
      <c r="BQ90" s="10"/>
      <c r="BR90" s="10">
        <f t="shared" si="54"/>
        <v>-12.299999999999997</v>
      </c>
      <c r="BS90">
        <v>6200</v>
      </c>
      <c r="BT90" s="13"/>
      <c r="BV90" s="25">
        <f t="shared" si="64"/>
        <v>459.07488633378256</v>
      </c>
      <c r="BW90">
        <v>6200</v>
      </c>
      <c r="BX90" s="13"/>
      <c r="BZ90" s="10">
        <f t="shared" si="65"/>
        <v>-78.3</v>
      </c>
      <c r="CA90" s="13">
        <f t="shared" si="66"/>
        <v>97</v>
      </c>
      <c r="CB90" s="9">
        <f t="shared" si="67"/>
        <v>-87.1</v>
      </c>
      <c r="CC90" s="13">
        <f t="shared" si="68"/>
        <v>97</v>
      </c>
      <c r="CD90">
        <f t="shared" si="48"/>
        <v>16783</v>
      </c>
      <c r="CE90" s="13">
        <f t="shared" si="49"/>
        <v>97</v>
      </c>
      <c r="CF90" s="13"/>
      <c r="CV90" s="9">
        <f t="shared" si="55"/>
        <v>0.17342099331887045</v>
      </c>
      <c r="CW90" s="9">
        <f t="shared" si="50"/>
        <v>0</v>
      </c>
      <c r="CX90" s="9"/>
      <c r="CY90" s="9">
        <f t="shared" si="51"/>
        <v>0.17342099331887045</v>
      </c>
      <c r="CZ90" s="9">
        <f t="shared" si="52"/>
        <v>0</v>
      </c>
    </row>
    <row r="91" spans="1:104" x14ac:dyDescent="0.25">
      <c r="A91" s="8"/>
      <c r="B91" s="21" t="str">
        <f>'Eingabe Diagramme'!B84</f>
        <v xml:space="preserve">   94.0  16961  -78.7  -87.3     24   0.00    205      1  382.2  382.2  382.2</v>
      </c>
      <c r="C91" s="19"/>
      <c r="D91" s="19"/>
      <c r="E91" s="19"/>
      <c r="F91" s="19"/>
      <c r="G91" s="19"/>
      <c r="H91" s="19"/>
      <c r="I91" s="20"/>
      <c r="J91" s="19"/>
      <c r="K91" s="19"/>
      <c r="L91" s="11" t="str">
        <f t="shared" si="53"/>
        <v xml:space="preserve">   94.0</v>
      </c>
      <c r="M91" s="11" t="str">
        <f t="shared" si="1"/>
        <v>16961</v>
      </c>
      <c r="N91" s="11" t="str">
        <f t="shared" si="2"/>
        <v>-78.7</v>
      </c>
      <c r="O91" s="11" t="str">
        <f t="shared" si="3"/>
        <v>-87.3</v>
      </c>
      <c r="P91" s="11" t="str">
        <f t="shared" si="4"/>
        <v xml:space="preserve"> 24</v>
      </c>
      <c r="Q91" s="11" t="str">
        <f t="shared" si="5"/>
        <v xml:space="preserve"> 0.00</v>
      </c>
      <c r="R91" s="11" t="str">
        <f t="shared" si="6"/>
        <v>205</v>
      </c>
      <c r="S91" s="11" t="str">
        <f t="shared" si="19"/>
        <v xml:space="preserve">  1</v>
      </c>
      <c r="T91" s="11" t="str">
        <f t="shared" si="20"/>
        <v>382.2</v>
      </c>
      <c r="U91" s="11" t="str">
        <f t="shared" si="21"/>
        <v>382.2</v>
      </c>
      <c r="V91" s="11" t="str">
        <f t="shared" si="22"/>
        <v>382.2</v>
      </c>
      <c r="W91" s="11"/>
      <c r="Y91" s="13">
        <f t="shared" si="56"/>
        <v>94</v>
      </c>
      <c r="Z91" s="13">
        <f t="shared" si="57"/>
        <v>16961</v>
      </c>
      <c r="AA91" s="10">
        <f t="shared" si="58"/>
        <v>-78.7</v>
      </c>
      <c r="AB91" s="10">
        <f t="shared" si="59"/>
        <v>-87.3</v>
      </c>
      <c r="AC91" s="13">
        <f t="shared" si="60"/>
        <v>24</v>
      </c>
      <c r="AD91" s="9">
        <f t="shared" si="61"/>
        <v>0</v>
      </c>
      <c r="AE91" s="13">
        <f t="shared" si="62"/>
        <v>205</v>
      </c>
      <c r="AF91" s="13">
        <f t="shared" si="63"/>
        <v>1</v>
      </c>
      <c r="AG91" s="27">
        <f t="shared" si="23"/>
        <v>1.8520000000000001</v>
      </c>
      <c r="AH91" s="29">
        <f t="shared" si="24"/>
        <v>382.2</v>
      </c>
      <c r="AI91" s="29">
        <f t="shared" si="25"/>
        <v>382.2</v>
      </c>
      <c r="AJ91" s="29">
        <f t="shared" si="26"/>
        <v>382.2</v>
      </c>
      <c r="AK91" s="27">
        <f t="shared" si="27"/>
        <v>109.05000000000001</v>
      </c>
      <c r="AL91" s="27">
        <f t="shared" si="28"/>
        <v>109.05000000000001</v>
      </c>
      <c r="AM91" s="27">
        <f t="shared" si="29"/>
        <v>109.05000000000001</v>
      </c>
      <c r="AP91" s="10">
        <f t="shared" si="30"/>
        <v>-87.3</v>
      </c>
      <c r="AQ91" s="13">
        <f t="shared" si="31"/>
        <v>16961</v>
      </c>
      <c r="AR91" s="10">
        <f t="shared" si="32"/>
        <v>-78.7</v>
      </c>
      <c r="AS91" s="13">
        <f t="shared" si="33"/>
        <v>16961</v>
      </c>
      <c r="AV91" s="13">
        <f t="shared" si="34"/>
        <v>94</v>
      </c>
      <c r="AW91" s="13">
        <f t="shared" si="35"/>
        <v>16961</v>
      </c>
      <c r="AY91" s="13">
        <f t="shared" si="36"/>
        <v>24</v>
      </c>
      <c r="AZ91" s="13">
        <f t="shared" si="37"/>
        <v>16961</v>
      </c>
      <c r="BA91" s="13"/>
      <c r="BB91" s="13"/>
      <c r="BC91" s="10">
        <f t="shared" si="38"/>
        <v>8.5999999999999943</v>
      </c>
      <c r="BD91" s="10">
        <f t="shared" si="39"/>
        <v>8.5999999999999943</v>
      </c>
      <c r="BE91" s="13">
        <f t="shared" si="40"/>
        <v>16961</v>
      </c>
      <c r="BG91" s="9">
        <f t="shared" si="41"/>
        <v>0</v>
      </c>
      <c r="BH91" s="13">
        <f t="shared" si="42"/>
        <v>16961</v>
      </c>
      <c r="BJ91" s="13">
        <f t="shared" si="43"/>
        <v>205</v>
      </c>
      <c r="BK91" s="13">
        <f t="shared" si="44"/>
        <v>16961</v>
      </c>
      <c r="BL91" s="13"/>
      <c r="BM91" s="13">
        <f t="shared" si="45"/>
        <v>1.8520000000000001</v>
      </c>
      <c r="BN91" s="13">
        <f t="shared" si="46"/>
        <v>16961</v>
      </c>
      <c r="BO91" s="13"/>
      <c r="BP91" s="13"/>
      <c r="BQ91" s="10"/>
      <c r="BR91" s="10">
        <f t="shared" si="54"/>
        <v>-12.949999999999996</v>
      </c>
      <c r="BS91">
        <v>6300</v>
      </c>
      <c r="BT91" s="13"/>
      <c r="BV91" s="25">
        <f t="shared" si="64"/>
        <v>452.78333581201429</v>
      </c>
      <c r="BW91">
        <v>6300</v>
      </c>
      <c r="BX91" s="13"/>
      <c r="BZ91" s="10">
        <f t="shared" si="65"/>
        <v>-78.7</v>
      </c>
      <c r="CA91" s="13">
        <f t="shared" si="66"/>
        <v>94</v>
      </c>
      <c r="CB91" s="9">
        <f t="shared" si="67"/>
        <v>-87.3</v>
      </c>
      <c r="CC91" s="13">
        <f t="shared" si="68"/>
        <v>94</v>
      </c>
      <c r="CD91">
        <f t="shared" si="48"/>
        <v>16961</v>
      </c>
      <c r="CE91" s="13">
        <f t="shared" si="49"/>
        <v>94</v>
      </c>
      <c r="CF91" s="13"/>
      <c r="CV91" s="9">
        <f t="shared" si="55"/>
        <v>0.168403165763817</v>
      </c>
      <c r="CW91" s="9">
        <f t="shared" si="50"/>
        <v>0</v>
      </c>
      <c r="CX91" s="9"/>
      <c r="CY91" s="9">
        <f t="shared" si="51"/>
        <v>0.168403165763817</v>
      </c>
      <c r="CZ91" s="9">
        <f t="shared" si="52"/>
        <v>0</v>
      </c>
    </row>
    <row r="92" spans="1:104" x14ac:dyDescent="0.25">
      <c r="A92" s="8"/>
      <c r="B92" s="21" t="str">
        <f>'Eingabe Diagramme'!B85</f>
        <v xml:space="preserve">   82.0  17734  -80.3  -88.0     27   0.00     35     10  394.0  394.0  394.0</v>
      </c>
      <c r="C92" s="19"/>
      <c r="D92" s="19"/>
      <c r="E92" s="19"/>
      <c r="F92" s="19"/>
      <c r="G92" s="19"/>
      <c r="H92" s="19"/>
      <c r="I92" s="20"/>
      <c r="J92" s="19"/>
      <c r="K92" s="19"/>
      <c r="L92" s="11" t="str">
        <f t="shared" si="53"/>
        <v xml:space="preserve">   82.0</v>
      </c>
      <c r="M92" s="11" t="str">
        <f t="shared" ref="M92:M155" si="69">MID(B92,10,5)</f>
        <v>17734</v>
      </c>
      <c r="N92" s="11" t="str">
        <f t="shared" ref="N92:N155" si="70">MID(B92,17,5)</f>
        <v>-80.3</v>
      </c>
      <c r="O92" s="11" t="str">
        <f t="shared" ref="O92:O155" si="71">MID(B92,24,5)</f>
        <v>-88.0</v>
      </c>
      <c r="P92" s="11" t="str">
        <f t="shared" ref="P92:P155" si="72">MID(B92,33,3)</f>
        <v xml:space="preserve"> 27</v>
      </c>
      <c r="Q92" s="11" t="str">
        <f t="shared" ref="Q92:Q155" si="73">MID(B92,38,5)</f>
        <v xml:space="preserve"> 0.00</v>
      </c>
      <c r="R92" s="11" t="str">
        <f t="shared" ref="R92:R155" si="74">MID(B92,47,3)</f>
        <v xml:space="preserve"> 35</v>
      </c>
      <c r="S92" s="11" t="str">
        <f t="shared" ref="S92:S155" si="75">MID(B92,54,3)</f>
        <v xml:space="preserve"> 10</v>
      </c>
      <c r="T92" s="11" t="str">
        <f t="shared" si="20"/>
        <v>394.0</v>
      </c>
      <c r="U92" s="11" t="str">
        <f t="shared" si="21"/>
        <v>394.0</v>
      </c>
      <c r="V92" s="11" t="str">
        <f t="shared" si="22"/>
        <v>394.0</v>
      </c>
      <c r="W92" s="11"/>
      <c r="Y92" s="13">
        <f t="shared" ref="Y92:Y123" si="76">SUBSTITUTE(L92,".",",")*1</f>
        <v>82</v>
      </c>
      <c r="Z92" s="13">
        <f t="shared" ref="Z92:Z123" si="77">SUBSTITUTE(M92,".",",")*1</f>
        <v>17734</v>
      </c>
      <c r="AA92" s="10">
        <f t="shared" ref="AA92:AA123" si="78">SUBSTITUTE(N92,".",",")*1</f>
        <v>-80.3</v>
      </c>
      <c r="AB92" s="10">
        <f t="shared" ref="AB92:AB123" si="79">SUBSTITUTE(O92,".",",")*1</f>
        <v>-88</v>
      </c>
      <c r="AC92" s="13">
        <f t="shared" ref="AC92:AC123" si="80">SUBSTITUTE(P92,".",",")*1</f>
        <v>27</v>
      </c>
      <c r="AD92" s="9">
        <f t="shared" ref="AD92:AD123" si="81">SUBSTITUTE(Q92,".",",")*1</f>
        <v>0</v>
      </c>
      <c r="AE92" s="13">
        <f t="shared" ref="AE92:AE123" si="82">SUBSTITUTE(R92,".",",")*1</f>
        <v>35</v>
      </c>
      <c r="AF92" s="13">
        <f t="shared" ref="AF92:AF123" si="83">SUBSTITUTE(S92,".",",")*1</f>
        <v>10</v>
      </c>
      <c r="AG92" s="27">
        <f t="shared" si="23"/>
        <v>18.52</v>
      </c>
      <c r="AH92" s="29">
        <f t="shared" si="24"/>
        <v>394</v>
      </c>
      <c r="AI92" s="29">
        <f t="shared" si="25"/>
        <v>394</v>
      </c>
      <c r="AJ92" s="29">
        <f t="shared" si="26"/>
        <v>394</v>
      </c>
      <c r="AK92" s="27">
        <f t="shared" si="27"/>
        <v>120.85000000000002</v>
      </c>
      <c r="AL92" s="27">
        <f t="shared" si="28"/>
        <v>120.85000000000002</v>
      </c>
      <c r="AM92" s="27">
        <f t="shared" si="29"/>
        <v>120.85000000000002</v>
      </c>
      <c r="AP92" s="10">
        <f t="shared" si="30"/>
        <v>-88</v>
      </c>
      <c r="AQ92" s="13">
        <f t="shared" si="31"/>
        <v>17734</v>
      </c>
      <c r="AR92" s="10">
        <f t="shared" si="32"/>
        <v>-80.3</v>
      </c>
      <c r="AS92" s="13">
        <f t="shared" si="33"/>
        <v>17734</v>
      </c>
      <c r="AV92" s="13">
        <f t="shared" si="34"/>
        <v>82</v>
      </c>
      <c r="AW92" s="13">
        <f t="shared" si="35"/>
        <v>17734</v>
      </c>
      <c r="AY92" s="13">
        <f t="shared" si="36"/>
        <v>27</v>
      </c>
      <c r="AZ92" s="13">
        <f t="shared" si="37"/>
        <v>17734</v>
      </c>
      <c r="BA92" s="13"/>
      <c r="BB92" s="13"/>
      <c r="BC92" s="10">
        <f t="shared" si="38"/>
        <v>7.7000000000000028</v>
      </c>
      <c r="BD92" s="10">
        <f t="shared" si="39"/>
        <v>7.7000000000000028</v>
      </c>
      <c r="BE92" s="13">
        <f t="shared" si="40"/>
        <v>17734</v>
      </c>
      <c r="BG92" s="9">
        <f t="shared" si="41"/>
        <v>0</v>
      </c>
      <c r="BH92" s="13">
        <f t="shared" si="42"/>
        <v>17734</v>
      </c>
      <c r="BJ92" s="13">
        <f t="shared" si="43"/>
        <v>35</v>
      </c>
      <c r="BK92" s="13">
        <f t="shared" si="44"/>
        <v>17734</v>
      </c>
      <c r="BL92" s="13"/>
      <c r="BM92" s="13">
        <f t="shared" si="45"/>
        <v>18.52</v>
      </c>
      <c r="BN92" s="13">
        <f t="shared" si="46"/>
        <v>17734</v>
      </c>
      <c r="BO92" s="13"/>
      <c r="BP92" s="13"/>
      <c r="BQ92" s="10"/>
      <c r="BR92" s="10">
        <f t="shared" si="54"/>
        <v>-13.600000000000001</v>
      </c>
      <c r="BS92">
        <v>6400</v>
      </c>
      <c r="BT92" s="13"/>
      <c r="BV92" s="25">
        <f t="shared" ref="BV92:BV123" si="84">1013.25*(1-(0.0065*BW92/288.15))^5.255</f>
        <v>446.56178469333639</v>
      </c>
      <c r="BW92">
        <v>6400</v>
      </c>
      <c r="BX92" s="13"/>
      <c r="BZ92" s="10">
        <f t="shared" ref="BZ92:BZ123" si="85">IFERROR(AA92,-999)</f>
        <v>-80.3</v>
      </c>
      <c r="CA92" s="13">
        <f t="shared" ref="CA92:CA123" si="86">IFERROR(Y92,-999)</f>
        <v>82</v>
      </c>
      <c r="CB92" s="9">
        <f t="shared" ref="CB92:CB123" si="87">IFERROR(AB92,-999)</f>
        <v>-88</v>
      </c>
      <c r="CC92" s="13">
        <f t="shared" ref="CC92:CC123" si="88">IFERROR(Y92,-999)</f>
        <v>82</v>
      </c>
      <c r="CD92">
        <f t="shared" si="48"/>
        <v>17734</v>
      </c>
      <c r="CE92" s="13">
        <f t="shared" si="49"/>
        <v>82</v>
      </c>
      <c r="CF92" s="13"/>
      <c r="CV92" s="9">
        <f t="shared" si="55"/>
        <v>0.14812370091337032</v>
      </c>
      <c r="CW92" s="9">
        <f t="shared" si="50"/>
        <v>0</v>
      </c>
      <c r="CX92" s="9"/>
      <c r="CY92" s="9">
        <f t="shared" si="51"/>
        <v>0.14812370091337032</v>
      </c>
      <c r="CZ92" s="9">
        <f t="shared" si="52"/>
        <v>0</v>
      </c>
    </row>
    <row r="93" spans="1:104" x14ac:dyDescent="0.25">
      <c r="A93" s="8"/>
      <c r="B93" s="21" t="str">
        <f>'Eingabe Diagramme'!B86</f>
        <v xml:space="preserve">   73.3  18370  -81.7  -88.7     30   0.00     78     10  403.9  403.9  403.9</v>
      </c>
      <c r="C93" s="19"/>
      <c r="D93" s="19"/>
      <c r="E93" s="19"/>
      <c r="F93" s="19"/>
      <c r="G93" s="19"/>
      <c r="H93" s="19"/>
      <c r="I93" s="20"/>
      <c r="J93" s="19"/>
      <c r="K93" s="19"/>
      <c r="L93" s="11" t="str">
        <f t="shared" si="53"/>
        <v xml:space="preserve">   73.3</v>
      </c>
      <c r="M93" s="11" t="str">
        <f t="shared" si="69"/>
        <v>18370</v>
      </c>
      <c r="N93" s="11" t="str">
        <f t="shared" si="70"/>
        <v>-81.7</v>
      </c>
      <c r="O93" s="11" t="str">
        <f t="shared" si="71"/>
        <v>-88.7</v>
      </c>
      <c r="P93" s="11" t="str">
        <f t="shared" si="72"/>
        <v xml:space="preserve"> 30</v>
      </c>
      <c r="Q93" s="11" t="str">
        <f t="shared" si="73"/>
        <v xml:space="preserve"> 0.00</v>
      </c>
      <c r="R93" s="11" t="str">
        <f t="shared" si="74"/>
        <v xml:space="preserve"> 78</v>
      </c>
      <c r="S93" s="11" t="str">
        <f t="shared" si="75"/>
        <v xml:space="preserve"> 10</v>
      </c>
      <c r="T93" s="11" t="str">
        <f t="shared" ref="T93:T156" si="89">MID(B93,59,5)</f>
        <v>403.9</v>
      </c>
      <c r="U93" s="11" t="str">
        <f t="shared" ref="U93:U156" si="90">MID(B93,66,5)</f>
        <v>403.9</v>
      </c>
      <c r="V93" s="11" t="str">
        <f t="shared" ref="V93:V156" si="91">MID(B93,73,5)</f>
        <v>403.9</v>
      </c>
      <c r="W93" s="11"/>
      <c r="Y93" s="13">
        <f t="shared" si="76"/>
        <v>73.3</v>
      </c>
      <c r="Z93" s="13">
        <f t="shared" si="77"/>
        <v>18370</v>
      </c>
      <c r="AA93" s="10">
        <f t="shared" si="78"/>
        <v>-81.7</v>
      </c>
      <c r="AB93" s="10">
        <f t="shared" si="79"/>
        <v>-88.7</v>
      </c>
      <c r="AC93" s="13">
        <f t="shared" si="80"/>
        <v>30</v>
      </c>
      <c r="AD93" s="9">
        <f t="shared" si="81"/>
        <v>0</v>
      </c>
      <c r="AE93" s="13">
        <f t="shared" si="82"/>
        <v>78</v>
      </c>
      <c r="AF93" s="13">
        <f t="shared" si="83"/>
        <v>10</v>
      </c>
      <c r="AG93" s="27">
        <f t="shared" ref="AG93:AG156" si="92">AF93*1.852</f>
        <v>18.52</v>
      </c>
      <c r="AH93" s="29">
        <f t="shared" ref="AH93:AH156" si="93">SUBSTITUTE(T93,".",",")*1</f>
        <v>403.9</v>
      </c>
      <c r="AI93" s="29">
        <f t="shared" ref="AI93:AI156" si="94">SUBSTITUTE(U93,".",",")*1</f>
        <v>403.9</v>
      </c>
      <c r="AJ93" s="29">
        <f t="shared" ref="AJ93:AJ156" si="95">SUBSTITUTE(V93,".",",")*1</f>
        <v>403.9</v>
      </c>
      <c r="AK93" s="27">
        <f t="shared" ref="AK93:AK156" si="96">AH93-273.15</f>
        <v>130.75</v>
      </c>
      <c r="AL93" s="27">
        <f t="shared" ref="AL93:AL156" si="97">AI93-273.15</f>
        <v>130.75</v>
      </c>
      <c r="AM93" s="27">
        <f t="shared" ref="AM93:AM156" si="98">AJ93-273.15</f>
        <v>130.75</v>
      </c>
      <c r="AP93" s="10">
        <f t="shared" ref="AP93:AP156" si="99">IFERROR(AB93,-999)</f>
        <v>-88.7</v>
      </c>
      <c r="AQ93" s="13">
        <f t="shared" ref="AQ93:AQ156" si="100">IFERROR(Z93,-999)</f>
        <v>18370</v>
      </c>
      <c r="AR93" s="10">
        <f t="shared" ref="AR93:AR156" si="101">IFERROR(AA93,-999)</f>
        <v>-81.7</v>
      </c>
      <c r="AS93" s="13">
        <f t="shared" ref="AS93:AS156" si="102">IFERROR(Z93,-999)</f>
        <v>18370</v>
      </c>
      <c r="AV93" s="13">
        <f t="shared" ref="AV93:AV156" si="103">IFERROR(Y93,-999)</f>
        <v>73.3</v>
      </c>
      <c r="AW93" s="13">
        <f t="shared" ref="AW93:AW156" si="104">IFERROR(Z93,-999)</f>
        <v>18370</v>
      </c>
      <c r="AY93" s="13">
        <f t="shared" ref="AY93:AY156" si="105">IFERROR(AC93,-999)</f>
        <v>30</v>
      </c>
      <c r="AZ93" s="13">
        <f t="shared" ref="AZ93:AZ156" si="106">IFERROR(Z93,-999)</f>
        <v>18370</v>
      </c>
      <c r="BA93" s="13"/>
      <c r="BB93" s="13"/>
      <c r="BC93" s="10">
        <f t="shared" ref="BC93:BC156" si="107">IF(BE93=-999,-999,AR93-AP93)</f>
        <v>7</v>
      </c>
      <c r="BD93" s="10">
        <f t="shared" ref="BD93:BD156" si="108">IFERROR(BC93,-999)</f>
        <v>7</v>
      </c>
      <c r="BE93" s="13">
        <f t="shared" ref="BE93:BE156" si="109">IFERROR(Z93,-999)</f>
        <v>18370</v>
      </c>
      <c r="BG93" s="9">
        <f t="shared" ref="BG93:BG156" si="110">IFERROR(AD93,-999)</f>
        <v>0</v>
      </c>
      <c r="BH93" s="13">
        <f t="shared" ref="BH93:BH156" si="111">IFERROR(Z93,-999)</f>
        <v>18370</v>
      </c>
      <c r="BJ93" s="13">
        <f t="shared" ref="BJ93:BJ156" si="112">IFERROR(AE93,-999)</f>
        <v>78</v>
      </c>
      <c r="BK93" s="13">
        <f t="shared" ref="BK93:BK156" si="113">IFERROR(Z93,-999)</f>
        <v>18370</v>
      </c>
      <c r="BL93" s="13"/>
      <c r="BM93" s="13">
        <f t="shared" ref="BM93:BM156" si="114">IFERROR(AG93,-999)</f>
        <v>18.52</v>
      </c>
      <c r="BN93" s="13">
        <f t="shared" ref="BN93:BN156" si="115">IFERROR(Z93,-999)</f>
        <v>18370</v>
      </c>
      <c r="BO93" s="13"/>
      <c r="BP93" s="13"/>
      <c r="BQ93" s="10"/>
      <c r="BR93" s="10">
        <f t="shared" si="54"/>
        <v>-14.25</v>
      </c>
      <c r="BS93">
        <v>6500</v>
      </c>
      <c r="BT93" s="13"/>
      <c r="BV93" s="25">
        <f t="shared" si="84"/>
        <v>440.4096356385075</v>
      </c>
      <c r="BW93">
        <v>6500</v>
      </c>
      <c r="BX93" s="13"/>
      <c r="BZ93" s="10">
        <f t="shared" si="85"/>
        <v>-81.7</v>
      </c>
      <c r="CA93" s="13">
        <f t="shared" si="86"/>
        <v>73.3</v>
      </c>
      <c r="CB93" s="9">
        <f t="shared" si="87"/>
        <v>-88.7</v>
      </c>
      <c r="CC93" s="13">
        <f t="shared" si="88"/>
        <v>73.3</v>
      </c>
      <c r="CD93">
        <f t="shared" ref="CD93:CD156" si="116">IFERROR(Z93,-999)</f>
        <v>18370</v>
      </c>
      <c r="CE93" s="13">
        <f t="shared" ref="CE93:CE156" si="117">IFERROR(Y93,-999)</f>
        <v>73.3</v>
      </c>
      <c r="CF93" s="13"/>
      <c r="CV93" s="9">
        <f t="shared" si="55"/>
        <v>0.1333763871583242</v>
      </c>
      <c r="CW93" s="9">
        <f t="shared" ref="CW93:CW156" si="118">(CV93+CV94)/2*(AD93+AD94)/2*(Z94-Z93)</f>
        <v>0</v>
      </c>
      <c r="CX93" s="9"/>
      <c r="CY93" s="9">
        <f t="shared" ref="CY93:CY156" si="119">IFERROR(CV93,"")</f>
        <v>0.1333763871583242</v>
      </c>
      <c r="CZ93" s="9">
        <f t="shared" ref="CZ93:CZ156" si="120">IFERROR(CW93,"")</f>
        <v>0</v>
      </c>
    </row>
    <row r="94" spans="1:104" x14ac:dyDescent="0.25">
      <c r="A94" s="8"/>
      <c r="B94" s="21" t="str">
        <f>'Eingabe Diagramme'!B87</f>
        <v xml:space="preserve">   70.0  18630  -78.9  -88.9     18   0.00     95     10  415.3  415.3  415.3</v>
      </c>
      <c r="C94" s="19"/>
      <c r="D94" s="19"/>
      <c r="E94" s="19"/>
      <c r="F94" s="19"/>
      <c r="G94" s="19"/>
      <c r="H94" s="19"/>
      <c r="I94" s="20"/>
      <c r="J94" s="19"/>
      <c r="K94" s="19"/>
      <c r="L94" s="11" t="str">
        <f t="shared" ref="L94:L157" si="121">MID(B94,1,7)</f>
        <v xml:space="preserve">   70.0</v>
      </c>
      <c r="M94" s="11" t="str">
        <f t="shared" si="69"/>
        <v>18630</v>
      </c>
      <c r="N94" s="11" t="str">
        <f t="shared" si="70"/>
        <v>-78.9</v>
      </c>
      <c r="O94" s="11" t="str">
        <f t="shared" si="71"/>
        <v>-88.9</v>
      </c>
      <c r="P94" s="11" t="str">
        <f t="shared" si="72"/>
        <v xml:space="preserve"> 18</v>
      </c>
      <c r="Q94" s="11" t="str">
        <f t="shared" si="73"/>
        <v xml:space="preserve"> 0.00</v>
      </c>
      <c r="R94" s="11" t="str">
        <f t="shared" si="74"/>
        <v xml:space="preserve"> 95</v>
      </c>
      <c r="S94" s="11" t="str">
        <f t="shared" si="75"/>
        <v xml:space="preserve"> 10</v>
      </c>
      <c r="T94" s="11" t="str">
        <f t="shared" si="89"/>
        <v>415.3</v>
      </c>
      <c r="U94" s="11" t="str">
        <f t="shared" si="90"/>
        <v>415.3</v>
      </c>
      <c r="V94" s="11" t="str">
        <f t="shared" si="91"/>
        <v>415.3</v>
      </c>
      <c r="W94" s="11"/>
      <c r="Y94" s="13">
        <f t="shared" si="76"/>
        <v>70</v>
      </c>
      <c r="Z94" s="13">
        <f t="shared" si="77"/>
        <v>18630</v>
      </c>
      <c r="AA94" s="10">
        <f t="shared" si="78"/>
        <v>-78.900000000000006</v>
      </c>
      <c r="AB94" s="10">
        <f t="shared" si="79"/>
        <v>-88.9</v>
      </c>
      <c r="AC94" s="13">
        <f t="shared" si="80"/>
        <v>18</v>
      </c>
      <c r="AD94" s="9">
        <f t="shared" si="81"/>
        <v>0</v>
      </c>
      <c r="AE94" s="13">
        <f t="shared" si="82"/>
        <v>95</v>
      </c>
      <c r="AF94" s="13">
        <f t="shared" si="83"/>
        <v>10</v>
      </c>
      <c r="AG94" s="27">
        <f t="shared" si="92"/>
        <v>18.52</v>
      </c>
      <c r="AH94" s="29">
        <f t="shared" si="93"/>
        <v>415.3</v>
      </c>
      <c r="AI94" s="29">
        <f t="shared" si="94"/>
        <v>415.3</v>
      </c>
      <c r="AJ94" s="29">
        <f t="shared" si="95"/>
        <v>415.3</v>
      </c>
      <c r="AK94" s="27">
        <f t="shared" si="96"/>
        <v>142.15000000000003</v>
      </c>
      <c r="AL94" s="27">
        <f t="shared" si="97"/>
        <v>142.15000000000003</v>
      </c>
      <c r="AM94" s="27">
        <f t="shared" si="98"/>
        <v>142.15000000000003</v>
      </c>
      <c r="AP94" s="10">
        <f t="shared" si="99"/>
        <v>-88.9</v>
      </c>
      <c r="AQ94" s="13">
        <f t="shared" si="100"/>
        <v>18630</v>
      </c>
      <c r="AR94" s="10">
        <f t="shared" si="101"/>
        <v>-78.900000000000006</v>
      </c>
      <c r="AS94" s="13">
        <f t="shared" si="102"/>
        <v>18630</v>
      </c>
      <c r="AV94" s="13">
        <f t="shared" si="103"/>
        <v>70</v>
      </c>
      <c r="AW94" s="13">
        <f t="shared" si="104"/>
        <v>18630</v>
      </c>
      <c r="AY94" s="13">
        <f t="shared" si="105"/>
        <v>18</v>
      </c>
      <c r="AZ94" s="13">
        <f t="shared" si="106"/>
        <v>18630</v>
      </c>
      <c r="BA94" s="13"/>
      <c r="BB94" s="13"/>
      <c r="BC94" s="10">
        <f t="shared" si="107"/>
        <v>10</v>
      </c>
      <c r="BD94" s="10">
        <f t="shared" si="108"/>
        <v>10</v>
      </c>
      <c r="BE94" s="13">
        <f t="shared" si="109"/>
        <v>18630</v>
      </c>
      <c r="BG94" s="9">
        <f t="shared" si="110"/>
        <v>0</v>
      </c>
      <c r="BH94" s="13">
        <f t="shared" si="111"/>
        <v>18630</v>
      </c>
      <c r="BJ94" s="13">
        <f t="shared" si="112"/>
        <v>95</v>
      </c>
      <c r="BK94" s="13">
        <f t="shared" si="113"/>
        <v>18630</v>
      </c>
      <c r="BL94" s="13"/>
      <c r="BM94" s="13">
        <f t="shared" si="114"/>
        <v>18.52</v>
      </c>
      <c r="BN94" s="13">
        <f t="shared" si="115"/>
        <v>18630</v>
      </c>
      <c r="BO94" s="13"/>
      <c r="BP94" s="13"/>
      <c r="BQ94" s="10"/>
      <c r="BR94" s="10">
        <f t="shared" ref="BR94:BR138" si="122">$BR$21-(6.5/1000)*BS94</f>
        <v>-14.899999999999999</v>
      </c>
      <c r="BS94">
        <v>6600</v>
      </c>
      <c r="BT94" s="13"/>
      <c r="BV94" s="25">
        <f t="shared" si="84"/>
        <v>434.32629484895199</v>
      </c>
      <c r="BW94">
        <v>6600</v>
      </c>
      <c r="BX94" s="13"/>
      <c r="BZ94" s="10">
        <f t="shared" si="85"/>
        <v>-78.900000000000006</v>
      </c>
      <c r="CA94" s="13">
        <f t="shared" si="86"/>
        <v>70</v>
      </c>
      <c r="CB94" s="9">
        <f t="shared" si="87"/>
        <v>-88.9</v>
      </c>
      <c r="CC94" s="13">
        <f t="shared" si="88"/>
        <v>70</v>
      </c>
      <c r="CD94">
        <f t="shared" si="116"/>
        <v>18630</v>
      </c>
      <c r="CE94" s="13">
        <f t="shared" si="117"/>
        <v>70</v>
      </c>
      <c r="CF94" s="13"/>
      <c r="CV94" s="9">
        <f t="shared" ref="CV94:CV157" si="123">Y94*100/(287.058*(AA94+273.15))</f>
        <v>0.12553573158050305</v>
      </c>
      <c r="CW94" s="9">
        <f t="shared" si="118"/>
        <v>0</v>
      </c>
      <c r="CX94" s="9"/>
      <c r="CY94" s="9">
        <f t="shared" si="119"/>
        <v>0.12553573158050305</v>
      </c>
      <c r="CZ94" s="9">
        <f t="shared" si="120"/>
        <v>0</v>
      </c>
    </row>
    <row r="95" spans="1:104" x14ac:dyDescent="0.25">
      <c r="A95" s="8"/>
      <c r="B95" s="21" t="str">
        <f>'Eingabe Diagramme'!B88</f>
        <v xml:space="preserve">   69.0  18713  -77.2  -89.4     13   0.00    100     14  420.6  420.6  420.6</v>
      </c>
      <c r="C95" s="19"/>
      <c r="D95" s="19"/>
      <c r="E95" s="19"/>
      <c r="F95" s="19"/>
      <c r="G95" s="19"/>
      <c r="H95" s="19"/>
      <c r="I95" s="20"/>
      <c r="J95" s="19"/>
      <c r="K95" s="19"/>
      <c r="L95" s="11" t="str">
        <f t="shared" si="121"/>
        <v xml:space="preserve">   69.0</v>
      </c>
      <c r="M95" s="11" t="str">
        <f t="shared" si="69"/>
        <v>18713</v>
      </c>
      <c r="N95" s="11" t="str">
        <f t="shared" si="70"/>
        <v>-77.2</v>
      </c>
      <c r="O95" s="11" t="str">
        <f t="shared" si="71"/>
        <v>-89.4</v>
      </c>
      <c r="P95" s="11" t="str">
        <f t="shared" si="72"/>
        <v xml:space="preserve"> 13</v>
      </c>
      <c r="Q95" s="11" t="str">
        <f t="shared" si="73"/>
        <v xml:space="preserve"> 0.00</v>
      </c>
      <c r="R95" s="11" t="str">
        <f t="shared" si="74"/>
        <v>100</v>
      </c>
      <c r="S95" s="11" t="str">
        <f t="shared" si="75"/>
        <v xml:space="preserve"> 14</v>
      </c>
      <c r="T95" s="11" t="str">
        <f t="shared" si="89"/>
        <v>420.6</v>
      </c>
      <c r="U95" s="11" t="str">
        <f t="shared" si="90"/>
        <v>420.6</v>
      </c>
      <c r="V95" s="11" t="str">
        <f t="shared" si="91"/>
        <v>420.6</v>
      </c>
      <c r="W95" s="11"/>
      <c r="Y95" s="13">
        <f t="shared" si="76"/>
        <v>69</v>
      </c>
      <c r="Z95" s="13">
        <f t="shared" si="77"/>
        <v>18713</v>
      </c>
      <c r="AA95" s="10">
        <f t="shared" si="78"/>
        <v>-77.2</v>
      </c>
      <c r="AB95" s="10">
        <f t="shared" si="79"/>
        <v>-89.4</v>
      </c>
      <c r="AC95" s="13">
        <f t="shared" si="80"/>
        <v>13</v>
      </c>
      <c r="AD95" s="9">
        <f t="shared" si="81"/>
        <v>0</v>
      </c>
      <c r="AE95" s="13">
        <f t="shared" si="82"/>
        <v>100</v>
      </c>
      <c r="AF95" s="13">
        <f t="shared" si="83"/>
        <v>14</v>
      </c>
      <c r="AG95" s="27">
        <f t="shared" si="92"/>
        <v>25.928000000000001</v>
      </c>
      <c r="AH95" s="29">
        <f t="shared" si="93"/>
        <v>420.6</v>
      </c>
      <c r="AI95" s="29">
        <f t="shared" si="94"/>
        <v>420.6</v>
      </c>
      <c r="AJ95" s="29">
        <f t="shared" si="95"/>
        <v>420.6</v>
      </c>
      <c r="AK95" s="27">
        <f t="shared" si="96"/>
        <v>147.45000000000005</v>
      </c>
      <c r="AL95" s="27">
        <f t="shared" si="97"/>
        <v>147.45000000000005</v>
      </c>
      <c r="AM95" s="27">
        <f t="shared" si="98"/>
        <v>147.45000000000005</v>
      </c>
      <c r="AP95" s="10">
        <f t="shared" si="99"/>
        <v>-89.4</v>
      </c>
      <c r="AQ95" s="13">
        <f t="shared" si="100"/>
        <v>18713</v>
      </c>
      <c r="AR95" s="10">
        <f t="shared" si="101"/>
        <v>-77.2</v>
      </c>
      <c r="AS95" s="13">
        <f t="shared" si="102"/>
        <v>18713</v>
      </c>
      <c r="AV95" s="13">
        <f t="shared" si="103"/>
        <v>69</v>
      </c>
      <c r="AW95" s="13">
        <f t="shared" si="104"/>
        <v>18713</v>
      </c>
      <c r="AY95" s="13">
        <f t="shared" si="105"/>
        <v>13</v>
      </c>
      <c r="AZ95" s="13">
        <f t="shared" si="106"/>
        <v>18713</v>
      </c>
      <c r="BA95" s="13"/>
      <c r="BB95" s="13"/>
      <c r="BC95" s="10">
        <f t="shared" si="107"/>
        <v>12.200000000000003</v>
      </c>
      <c r="BD95" s="10">
        <f t="shared" si="108"/>
        <v>12.200000000000003</v>
      </c>
      <c r="BE95" s="13">
        <f t="shared" si="109"/>
        <v>18713</v>
      </c>
      <c r="BG95" s="9">
        <f t="shared" si="110"/>
        <v>0</v>
      </c>
      <c r="BH95" s="13">
        <f t="shared" si="111"/>
        <v>18713</v>
      </c>
      <c r="BJ95" s="13">
        <f t="shared" si="112"/>
        <v>100</v>
      </c>
      <c r="BK95" s="13">
        <f t="shared" si="113"/>
        <v>18713</v>
      </c>
      <c r="BL95" s="13"/>
      <c r="BM95" s="13">
        <f t="shared" si="114"/>
        <v>25.928000000000001</v>
      </c>
      <c r="BN95" s="13">
        <f t="shared" si="115"/>
        <v>18713</v>
      </c>
      <c r="BO95" s="13"/>
      <c r="BP95" s="13"/>
      <c r="BQ95" s="10"/>
      <c r="BR95" s="10">
        <f t="shared" si="122"/>
        <v>-15.549999999999997</v>
      </c>
      <c r="BS95">
        <v>6700</v>
      </c>
      <c r="BT95" s="13"/>
      <c r="BV95" s="25">
        <f t="shared" si="84"/>
        <v>428.31117205504921</v>
      </c>
      <c r="BW95">
        <v>6700</v>
      </c>
      <c r="BX95" s="13"/>
      <c r="BZ95" s="10">
        <f t="shared" si="85"/>
        <v>-77.2</v>
      </c>
      <c r="CA95" s="13">
        <f t="shared" si="86"/>
        <v>69</v>
      </c>
      <c r="CB95" s="9">
        <f t="shared" si="87"/>
        <v>-89.4</v>
      </c>
      <c r="CC95" s="13">
        <f t="shared" si="88"/>
        <v>69</v>
      </c>
      <c r="CD95">
        <f t="shared" si="116"/>
        <v>18713</v>
      </c>
      <c r="CE95" s="13">
        <f t="shared" si="117"/>
        <v>69</v>
      </c>
      <c r="CF95" s="13"/>
      <c r="CV95" s="9">
        <f t="shared" si="123"/>
        <v>0.12266881451582963</v>
      </c>
      <c r="CW95" s="9">
        <f t="shared" si="118"/>
        <v>0</v>
      </c>
      <c r="CX95" s="9"/>
      <c r="CY95" s="9">
        <f t="shared" si="119"/>
        <v>0.12266881451582963</v>
      </c>
      <c r="CZ95" s="9">
        <f t="shared" si="120"/>
        <v>0</v>
      </c>
    </row>
    <row r="96" spans="1:104" x14ac:dyDescent="0.25">
      <c r="A96" s="8"/>
      <c r="B96" s="21" t="str">
        <f>'Eingabe Diagramme'!B89</f>
        <v xml:space="preserve">   66.8  18901  -73.5  -90.5      6   0.00    102     15  432.6  432.6  432.6</v>
      </c>
      <c r="C96" s="19"/>
      <c r="D96" s="19"/>
      <c r="E96" s="19"/>
      <c r="F96" s="19"/>
      <c r="G96" s="19"/>
      <c r="H96" s="19"/>
      <c r="I96" s="20"/>
      <c r="J96" s="19"/>
      <c r="K96" s="19"/>
      <c r="L96" s="11" t="str">
        <f t="shared" si="121"/>
        <v xml:space="preserve">   66.8</v>
      </c>
      <c r="M96" s="11" t="str">
        <f t="shared" si="69"/>
        <v>18901</v>
      </c>
      <c r="N96" s="11" t="str">
        <f t="shared" si="70"/>
        <v>-73.5</v>
      </c>
      <c r="O96" s="11" t="str">
        <f t="shared" si="71"/>
        <v>-90.5</v>
      </c>
      <c r="P96" s="11" t="str">
        <f t="shared" si="72"/>
        <v xml:space="preserve">  6</v>
      </c>
      <c r="Q96" s="11" t="str">
        <f t="shared" si="73"/>
        <v xml:space="preserve"> 0.00</v>
      </c>
      <c r="R96" s="11" t="str">
        <f t="shared" si="74"/>
        <v>102</v>
      </c>
      <c r="S96" s="11" t="str">
        <f t="shared" si="75"/>
        <v xml:space="preserve"> 15</v>
      </c>
      <c r="T96" s="11" t="str">
        <f t="shared" si="89"/>
        <v>432.6</v>
      </c>
      <c r="U96" s="11" t="str">
        <f t="shared" si="90"/>
        <v>432.6</v>
      </c>
      <c r="V96" s="11" t="str">
        <f t="shared" si="91"/>
        <v>432.6</v>
      </c>
      <c r="W96" s="11"/>
      <c r="Y96" s="13">
        <f t="shared" si="76"/>
        <v>66.8</v>
      </c>
      <c r="Z96" s="13">
        <f t="shared" si="77"/>
        <v>18901</v>
      </c>
      <c r="AA96" s="10">
        <f t="shared" si="78"/>
        <v>-73.5</v>
      </c>
      <c r="AB96" s="10">
        <f t="shared" si="79"/>
        <v>-90.5</v>
      </c>
      <c r="AC96" s="13">
        <f t="shared" si="80"/>
        <v>6</v>
      </c>
      <c r="AD96" s="9">
        <f t="shared" si="81"/>
        <v>0</v>
      </c>
      <c r="AE96" s="13">
        <f t="shared" si="82"/>
        <v>102</v>
      </c>
      <c r="AF96" s="13">
        <f t="shared" si="83"/>
        <v>15</v>
      </c>
      <c r="AG96" s="27">
        <f t="shared" si="92"/>
        <v>27.78</v>
      </c>
      <c r="AH96" s="29">
        <f t="shared" si="93"/>
        <v>432.6</v>
      </c>
      <c r="AI96" s="29">
        <f t="shared" si="94"/>
        <v>432.6</v>
      </c>
      <c r="AJ96" s="29">
        <f t="shared" si="95"/>
        <v>432.6</v>
      </c>
      <c r="AK96" s="27">
        <f t="shared" si="96"/>
        <v>159.45000000000005</v>
      </c>
      <c r="AL96" s="27">
        <f t="shared" si="97"/>
        <v>159.45000000000005</v>
      </c>
      <c r="AM96" s="27">
        <f t="shared" si="98"/>
        <v>159.45000000000005</v>
      </c>
      <c r="AP96" s="10">
        <f t="shared" si="99"/>
        <v>-90.5</v>
      </c>
      <c r="AQ96" s="13">
        <f t="shared" si="100"/>
        <v>18901</v>
      </c>
      <c r="AR96" s="10">
        <f t="shared" si="101"/>
        <v>-73.5</v>
      </c>
      <c r="AS96" s="13">
        <f t="shared" si="102"/>
        <v>18901</v>
      </c>
      <c r="AV96" s="13">
        <f t="shared" si="103"/>
        <v>66.8</v>
      </c>
      <c r="AW96" s="13">
        <f t="shared" si="104"/>
        <v>18901</v>
      </c>
      <c r="AY96" s="13">
        <f t="shared" si="105"/>
        <v>6</v>
      </c>
      <c r="AZ96" s="13">
        <f t="shared" si="106"/>
        <v>18901</v>
      </c>
      <c r="BA96" s="13"/>
      <c r="BB96" s="13"/>
      <c r="BC96" s="10">
        <f t="shared" si="107"/>
        <v>17</v>
      </c>
      <c r="BD96" s="10">
        <f t="shared" si="108"/>
        <v>17</v>
      </c>
      <c r="BE96" s="13">
        <f t="shared" si="109"/>
        <v>18901</v>
      </c>
      <c r="BG96" s="9">
        <f t="shared" si="110"/>
        <v>0</v>
      </c>
      <c r="BH96" s="13">
        <f t="shared" si="111"/>
        <v>18901</v>
      </c>
      <c r="BJ96" s="13">
        <f t="shared" si="112"/>
        <v>102</v>
      </c>
      <c r="BK96" s="13">
        <f t="shared" si="113"/>
        <v>18901</v>
      </c>
      <c r="BL96" s="13"/>
      <c r="BM96" s="13">
        <f t="shared" si="114"/>
        <v>27.78</v>
      </c>
      <c r="BN96" s="13">
        <f t="shared" si="115"/>
        <v>18901</v>
      </c>
      <c r="BO96" s="13"/>
      <c r="BP96" s="13"/>
      <c r="BQ96" s="10"/>
      <c r="BR96" s="10">
        <f t="shared" si="122"/>
        <v>-16.199999999999996</v>
      </c>
      <c r="BS96">
        <v>6800</v>
      </c>
      <c r="BT96" s="13"/>
      <c r="BV96" s="25">
        <f t="shared" si="84"/>
        <v>422.36368050443031</v>
      </c>
      <c r="BW96">
        <v>6800</v>
      </c>
      <c r="BX96" s="13"/>
      <c r="BZ96" s="10">
        <f t="shared" si="85"/>
        <v>-73.5</v>
      </c>
      <c r="CA96" s="13">
        <f t="shared" si="86"/>
        <v>66.8</v>
      </c>
      <c r="CB96" s="9">
        <f t="shared" si="87"/>
        <v>-90.5</v>
      </c>
      <c r="CC96" s="13">
        <f t="shared" si="88"/>
        <v>66.8</v>
      </c>
      <c r="CD96">
        <f t="shared" si="116"/>
        <v>18901</v>
      </c>
      <c r="CE96" s="13">
        <f t="shared" si="117"/>
        <v>66.8</v>
      </c>
      <c r="CF96" s="13"/>
      <c r="CV96" s="9">
        <f t="shared" si="123"/>
        <v>0.1165567671579156</v>
      </c>
      <c r="CW96" s="9">
        <f t="shared" si="118"/>
        <v>0</v>
      </c>
      <c r="CX96" s="9"/>
      <c r="CY96" s="9">
        <f t="shared" si="119"/>
        <v>0.1165567671579156</v>
      </c>
      <c r="CZ96" s="9">
        <f t="shared" si="120"/>
        <v>0</v>
      </c>
    </row>
    <row r="97" spans="1:104" x14ac:dyDescent="0.25">
      <c r="A97" s="8"/>
      <c r="B97" s="21" t="str">
        <f>'Eingabe Diagramme'!B90</f>
        <v xml:space="preserve">   63.0  19246  -72.1  -91.8      4   0.00    105     18  443.0  443.0  443.0</v>
      </c>
      <c r="C97" s="19"/>
      <c r="D97" s="19"/>
      <c r="E97" s="19"/>
      <c r="F97" s="19"/>
      <c r="G97" s="19"/>
      <c r="H97" s="19"/>
      <c r="I97" s="20"/>
      <c r="J97" s="19"/>
      <c r="K97" s="19"/>
      <c r="L97" s="11" t="str">
        <f t="shared" si="121"/>
        <v xml:space="preserve">   63.0</v>
      </c>
      <c r="M97" s="11" t="str">
        <f t="shared" si="69"/>
        <v>19246</v>
      </c>
      <c r="N97" s="11" t="str">
        <f t="shared" si="70"/>
        <v>-72.1</v>
      </c>
      <c r="O97" s="11" t="str">
        <f t="shared" si="71"/>
        <v>-91.8</v>
      </c>
      <c r="P97" s="11" t="str">
        <f t="shared" si="72"/>
        <v xml:space="preserve">  4</v>
      </c>
      <c r="Q97" s="11" t="str">
        <f t="shared" si="73"/>
        <v xml:space="preserve"> 0.00</v>
      </c>
      <c r="R97" s="11" t="str">
        <f t="shared" si="74"/>
        <v>105</v>
      </c>
      <c r="S97" s="11" t="str">
        <f t="shared" si="75"/>
        <v xml:space="preserve"> 18</v>
      </c>
      <c r="T97" s="11" t="str">
        <f t="shared" si="89"/>
        <v>443.0</v>
      </c>
      <c r="U97" s="11" t="str">
        <f t="shared" si="90"/>
        <v>443.0</v>
      </c>
      <c r="V97" s="11" t="str">
        <f t="shared" si="91"/>
        <v>443.0</v>
      </c>
      <c r="W97" s="11"/>
      <c r="Y97" s="13">
        <f t="shared" si="76"/>
        <v>63</v>
      </c>
      <c r="Z97" s="13">
        <f t="shared" si="77"/>
        <v>19246</v>
      </c>
      <c r="AA97" s="10">
        <f t="shared" si="78"/>
        <v>-72.099999999999994</v>
      </c>
      <c r="AB97" s="10">
        <f t="shared" si="79"/>
        <v>-91.8</v>
      </c>
      <c r="AC97" s="13">
        <f t="shared" si="80"/>
        <v>4</v>
      </c>
      <c r="AD97" s="9">
        <f t="shared" si="81"/>
        <v>0</v>
      </c>
      <c r="AE97" s="13">
        <f t="shared" si="82"/>
        <v>105</v>
      </c>
      <c r="AF97" s="13">
        <f t="shared" si="83"/>
        <v>18</v>
      </c>
      <c r="AG97" s="27">
        <f t="shared" si="92"/>
        <v>33.335999999999999</v>
      </c>
      <c r="AH97" s="29">
        <f t="shared" si="93"/>
        <v>443</v>
      </c>
      <c r="AI97" s="29">
        <f t="shared" si="94"/>
        <v>443</v>
      </c>
      <c r="AJ97" s="29">
        <f t="shared" si="95"/>
        <v>443</v>
      </c>
      <c r="AK97" s="27">
        <f t="shared" si="96"/>
        <v>169.85000000000002</v>
      </c>
      <c r="AL97" s="27">
        <f t="shared" si="97"/>
        <v>169.85000000000002</v>
      </c>
      <c r="AM97" s="27">
        <f t="shared" si="98"/>
        <v>169.85000000000002</v>
      </c>
      <c r="AP97" s="10">
        <f t="shared" si="99"/>
        <v>-91.8</v>
      </c>
      <c r="AQ97" s="13">
        <f t="shared" si="100"/>
        <v>19246</v>
      </c>
      <c r="AR97" s="10">
        <f t="shared" si="101"/>
        <v>-72.099999999999994</v>
      </c>
      <c r="AS97" s="13">
        <f t="shared" si="102"/>
        <v>19246</v>
      </c>
      <c r="AV97" s="13">
        <f t="shared" si="103"/>
        <v>63</v>
      </c>
      <c r="AW97" s="13">
        <f t="shared" si="104"/>
        <v>19246</v>
      </c>
      <c r="AY97" s="13">
        <f t="shared" si="105"/>
        <v>4</v>
      </c>
      <c r="AZ97" s="13">
        <f t="shared" si="106"/>
        <v>19246</v>
      </c>
      <c r="BA97" s="13"/>
      <c r="BB97" s="13"/>
      <c r="BC97" s="10">
        <f t="shared" si="107"/>
        <v>19.700000000000003</v>
      </c>
      <c r="BD97" s="10">
        <f t="shared" si="108"/>
        <v>19.700000000000003</v>
      </c>
      <c r="BE97" s="13">
        <f t="shared" si="109"/>
        <v>19246</v>
      </c>
      <c r="BG97" s="9">
        <f t="shared" si="110"/>
        <v>0</v>
      </c>
      <c r="BH97" s="13">
        <f t="shared" si="111"/>
        <v>19246</v>
      </c>
      <c r="BJ97" s="13">
        <f t="shared" si="112"/>
        <v>105</v>
      </c>
      <c r="BK97" s="13">
        <f t="shared" si="113"/>
        <v>19246</v>
      </c>
      <c r="BL97" s="13"/>
      <c r="BM97" s="13">
        <f t="shared" si="114"/>
        <v>33.335999999999999</v>
      </c>
      <c r="BN97" s="13">
        <f t="shared" si="115"/>
        <v>19246</v>
      </c>
      <c r="BO97" s="13"/>
      <c r="BP97" s="13"/>
      <c r="BQ97" s="10"/>
      <c r="BR97" s="10">
        <f t="shared" si="122"/>
        <v>-16.850000000000001</v>
      </c>
      <c r="BS97">
        <v>6900</v>
      </c>
      <c r="BT97" s="13"/>
      <c r="BV97" s="25">
        <f t="shared" si="84"/>
        <v>416.4832369502829</v>
      </c>
      <c r="BW97">
        <v>6900</v>
      </c>
      <c r="BX97" s="13"/>
      <c r="BZ97" s="10">
        <f t="shared" si="85"/>
        <v>-72.099999999999994</v>
      </c>
      <c r="CA97" s="13">
        <f t="shared" si="86"/>
        <v>63</v>
      </c>
      <c r="CB97" s="9">
        <f t="shared" si="87"/>
        <v>-91.8</v>
      </c>
      <c r="CC97" s="13">
        <f t="shared" si="88"/>
        <v>63</v>
      </c>
      <c r="CD97">
        <f t="shared" si="116"/>
        <v>19246</v>
      </c>
      <c r="CE97" s="13">
        <f t="shared" si="117"/>
        <v>63</v>
      </c>
      <c r="CF97" s="13"/>
      <c r="CV97" s="9">
        <f t="shared" si="123"/>
        <v>0.10916082702592113</v>
      </c>
      <c r="CW97" s="9">
        <f t="shared" si="118"/>
        <v>0</v>
      </c>
      <c r="CX97" s="9"/>
      <c r="CY97" s="9">
        <f t="shared" si="119"/>
        <v>0.10916082702592113</v>
      </c>
      <c r="CZ97" s="9">
        <f t="shared" si="120"/>
        <v>0</v>
      </c>
    </row>
    <row r="98" spans="1:104" x14ac:dyDescent="0.25">
      <c r="A98" s="8"/>
      <c r="B98" s="21" t="str">
        <f>'Eingabe Diagramme'!B91</f>
        <v xml:space="preserve">   62.0  19341  -71.7  -92.2      3   0.00    100     21  445.9  445.9  445.9</v>
      </c>
      <c r="C98" s="19"/>
      <c r="D98" s="19"/>
      <c r="E98" s="19"/>
      <c r="F98" s="19"/>
      <c r="G98" s="19"/>
      <c r="H98" s="19"/>
      <c r="I98" s="20"/>
      <c r="J98" s="19"/>
      <c r="K98" s="19"/>
      <c r="L98" s="11" t="str">
        <f t="shared" si="121"/>
        <v xml:space="preserve">   62.0</v>
      </c>
      <c r="M98" s="11" t="str">
        <f t="shared" si="69"/>
        <v>19341</v>
      </c>
      <c r="N98" s="11" t="str">
        <f t="shared" si="70"/>
        <v>-71.7</v>
      </c>
      <c r="O98" s="11" t="str">
        <f t="shared" si="71"/>
        <v>-92.2</v>
      </c>
      <c r="P98" s="11" t="str">
        <f t="shared" si="72"/>
        <v xml:space="preserve">  3</v>
      </c>
      <c r="Q98" s="11" t="str">
        <f t="shared" si="73"/>
        <v xml:space="preserve"> 0.00</v>
      </c>
      <c r="R98" s="11" t="str">
        <f t="shared" si="74"/>
        <v>100</v>
      </c>
      <c r="S98" s="11" t="str">
        <f t="shared" si="75"/>
        <v xml:space="preserve"> 21</v>
      </c>
      <c r="T98" s="11" t="str">
        <f t="shared" si="89"/>
        <v>445.9</v>
      </c>
      <c r="U98" s="11" t="str">
        <f t="shared" si="90"/>
        <v>445.9</v>
      </c>
      <c r="V98" s="11" t="str">
        <f t="shared" si="91"/>
        <v>445.9</v>
      </c>
      <c r="W98" s="11"/>
      <c r="Y98" s="13">
        <f t="shared" si="76"/>
        <v>62</v>
      </c>
      <c r="Z98" s="13">
        <f t="shared" si="77"/>
        <v>19341</v>
      </c>
      <c r="AA98" s="10">
        <f t="shared" si="78"/>
        <v>-71.7</v>
      </c>
      <c r="AB98" s="10">
        <f t="shared" si="79"/>
        <v>-92.2</v>
      </c>
      <c r="AC98" s="13">
        <f t="shared" si="80"/>
        <v>3</v>
      </c>
      <c r="AD98" s="9">
        <f t="shared" si="81"/>
        <v>0</v>
      </c>
      <c r="AE98" s="13">
        <f t="shared" si="82"/>
        <v>100</v>
      </c>
      <c r="AF98" s="13">
        <f t="shared" si="83"/>
        <v>21</v>
      </c>
      <c r="AG98" s="27">
        <f t="shared" si="92"/>
        <v>38.892000000000003</v>
      </c>
      <c r="AH98" s="29">
        <f t="shared" si="93"/>
        <v>445.9</v>
      </c>
      <c r="AI98" s="29">
        <f t="shared" si="94"/>
        <v>445.9</v>
      </c>
      <c r="AJ98" s="29">
        <f t="shared" si="95"/>
        <v>445.9</v>
      </c>
      <c r="AK98" s="27">
        <f t="shared" si="96"/>
        <v>172.75</v>
      </c>
      <c r="AL98" s="27">
        <f t="shared" si="97"/>
        <v>172.75</v>
      </c>
      <c r="AM98" s="27">
        <f t="shared" si="98"/>
        <v>172.75</v>
      </c>
      <c r="AP98" s="10">
        <f t="shared" si="99"/>
        <v>-92.2</v>
      </c>
      <c r="AQ98" s="13">
        <f t="shared" si="100"/>
        <v>19341</v>
      </c>
      <c r="AR98" s="10">
        <f t="shared" si="101"/>
        <v>-71.7</v>
      </c>
      <c r="AS98" s="13">
        <f t="shared" si="102"/>
        <v>19341</v>
      </c>
      <c r="AV98" s="13">
        <f t="shared" si="103"/>
        <v>62</v>
      </c>
      <c r="AW98" s="13">
        <f t="shared" si="104"/>
        <v>19341</v>
      </c>
      <c r="AY98" s="13">
        <f t="shared" si="105"/>
        <v>3</v>
      </c>
      <c r="AZ98" s="13">
        <f t="shared" si="106"/>
        <v>19341</v>
      </c>
      <c r="BA98" s="13"/>
      <c r="BB98" s="13"/>
      <c r="BC98" s="10">
        <f t="shared" si="107"/>
        <v>20.5</v>
      </c>
      <c r="BD98" s="10">
        <f t="shared" si="108"/>
        <v>20.5</v>
      </c>
      <c r="BE98" s="13">
        <f t="shared" si="109"/>
        <v>19341</v>
      </c>
      <c r="BG98" s="9">
        <f t="shared" si="110"/>
        <v>0</v>
      </c>
      <c r="BH98" s="13">
        <f t="shared" si="111"/>
        <v>19341</v>
      </c>
      <c r="BJ98" s="13">
        <f t="shared" si="112"/>
        <v>100</v>
      </c>
      <c r="BK98" s="13">
        <f t="shared" si="113"/>
        <v>19341</v>
      </c>
      <c r="BL98" s="13"/>
      <c r="BM98" s="13">
        <f t="shared" si="114"/>
        <v>38.892000000000003</v>
      </c>
      <c r="BN98" s="13">
        <f t="shared" si="115"/>
        <v>19341</v>
      </c>
      <c r="BO98" s="13"/>
      <c r="BP98" s="13"/>
      <c r="BQ98" s="10"/>
      <c r="BR98" s="10">
        <f t="shared" si="122"/>
        <v>-17.5</v>
      </c>
      <c r="BS98">
        <v>7000</v>
      </c>
      <c r="BT98" s="13"/>
      <c r="BV98" s="25">
        <f t="shared" si="84"/>
        <v>410.66926163966519</v>
      </c>
      <c r="BW98">
        <v>7000</v>
      </c>
      <c r="BX98" s="13"/>
      <c r="BZ98" s="10">
        <f t="shared" si="85"/>
        <v>-71.7</v>
      </c>
      <c r="CA98" s="13">
        <f t="shared" si="86"/>
        <v>62</v>
      </c>
      <c r="CB98" s="9">
        <f t="shared" si="87"/>
        <v>-92.2</v>
      </c>
      <c r="CC98" s="13">
        <f t="shared" si="88"/>
        <v>62</v>
      </c>
      <c r="CD98">
        <f t="shared" si="116"/>
        <v>19341</v>
      </c>
      <c r="CE98" s="13">
        <f t="shared" si="117"/>
        <v>62</v>
      </c>
      <c r="CF98" s="13"/>
      <c r="CV98" s="9">
        <f t="shared" si="123"/>
        <v>0.10721480575043707</v>
      </c>
      <c r="CW98" s="9">
        <f t="shared" si="118"/>
        <v>0</v>
      </c>
      <c r="CX98" s="9"/>
      <c r="CY98" s="9">
        <f t="shared" si="119"/>
        <v>0.10721480575043707</v>
      </c>
      <c r="CZ98" s="9">
        <f t="shared" si="120"/>
        <v>0</v>
      </c>
    </row>
    <row r="99" spans="1:104" x14ac:dyDescent="0.25">
      <c r="A99" s="8"/>
      <c r="B99" s="21" t="str">
        <f>'Eingabe Diagramme'!B92</f>
        <v xml:space="preserve">   61.0  19437  -71.3  -92.6      3   0.00     90     20  448.9  448.9  448.9</v>
      </c>
      <c r="C99" s="19"/>
      <c r="D99" s="19"/>
      <c r="E99" s="19"/>
      <c r="F99" s="19"/>
      <c r="G99" s="19"/>
      <c r="H99" s="19"/>
      <c r="I99" s="20"/>
      <c r="J99" s="19"/>
      <c r="K99" s="19"/>
      <c r="L99" s="11" t="str">
        <f t="shared" si="121"/>
        <v xml:space="preserve">   61.0</v>
      </c>
      <c r="M99" s="11" t="str">
        <f t="shared" si="69"/>
        <v>19437</v>
      </c>
      <c r="N99" s="11" t="str">
        <f t="shared" si="70"/>
        <v>-71.3</v>
      </c>
      <c r="O99" s="11" t="str">
        <f t="shared" si="71"/>
        <v>-92.6</v>
      </c>
      <c r="P99" s="11" t="str">
        <f t="shared" si="72"/>
        <v xml:space="preserve">  3</v>
      </c>
      <c r="Q99" s="11" t="str">
        <f t="shared" si="73"/>
        <v xml:space="preserve"> 0.00</v>
      </c>
      <c r="R99" s="11" t="str">
        <f t="shared" si="74"/>
        <v xml:space="preserve"> 90</v>
      </c>
      <c r="S99" s="11" t="str">
        <f t="shared" si="75"/>
        <v xml:space="preserve"> 20</v>
      </c>
      <c r="T99" s="11" t="str">
        <f t="shared" si="89"/>
        <v>448.9</v>
      </c>
      <c r="U99" s="11" t="str">
        <f t="shared" si="90"/>
        <v>448.9</v>
      </c>
      <c r="V99" s="11" t="str">
        <f t="shared" si="91"/>
        <v>448.9</v>
      </c>
      <c r="W99" s="11"/>
      <c r="Y99" s="13">
        <f t="shared" si="76"/>
        <v>61</v>
      </c>
      <c r="Z99" s="13">
        <f t="shared" si="77"/>
        <v>19437</v>
      </c>
      <c r="AA99" s="10">
        <f t="shared" si="78"/>
        <v>-71.3</v>
      </c>
      <c r="AB99" s="10">
        <f t="shared" si="79"/>
        <v>-92.6</v>
      </c>
      <c r="AC99" s="13">
        <f t="shared" si="80"/>
        <v>3</v>
      </c>
      <c r="AD99" s="9">
        <f t="shared" si="81"/>
        <v>0</v>
      </c>
      <c r="AE99" s="13">
        <f t="shared" si="82"/>
        <v>90</v>
      </c>
      <c r="AF99" s="13">
        <f t="shared" si="83"/>
        <v>20</v>
      </c>
      <c r="AG99" s="27">
        <f t="shared" si="92"/>
        <v>37.04</v>
      </c>
      <c r="AH99" s="29">
        <f t="shared" si="93"/>
        <v>448.9</v>
      </c>
      <c r="AI99" s="29">
        <f t="shared" si="94"/>
        <v>448.9</v>
      </c>
      <c r="AJ99" s="29">
        <f t="shared" si="95"/>
        <v>448.9</v>
      </c>
      <c r="AK99" s="27">
        <f t="shared" si="96"/>
        <v>175.75</v>
      </c>
      <c r="AL99" s="27">
        <f t="shared" si="97"/>
        <v>175.75</v>
      </c>
      <c r="AM99" s="27">
        <f t="shared" si="98"/>
        <v>175.75</v>
      </c>
      <c r="AP99" s="10">
        <f t="shared" si="99"/>
        <v>-92.6</v>
      </c>
      <c r="AQ99" s="13">
        <f t="shared" si="100"/>
        <v>19437</v>
      </c>
      <c r="AR99" s="10">
        <f t="shared" si="101"/>
        <v>-71.3</v>
      </c>
      <c r="AS99" s="13">
        <f t="shared" si="102"/>
        <v>19437</v>
      </c>
      <c r="AV99" s="13">
        <f t="shared" si="103"/>
        <v>61</v>
      </c>
      <c r="AW99" s="13">
        <f t="shared" si="104"/>
        <v>19437</v>
      </c>
      <c r="AY99" s="13">
        <f t="shared" si="105"/>
        <v>3</v>
      </c>
      <c r="AZ99" s="13">
        <f t="shared" si="106"/>
        <v>19437</v>
      </c>
      <c r="BA99" s="13"/>
      <c r="BB99" s="13"/>
      <c r="BC99" s="10">
        <f t="shared" si="107"/>
        <v>21.299999999999997</v>
      </c>
      <c r="BD99" s="10">
        <f t="shared" si="108"/>
        <v>21.299999999999997</v>
      </c>
      <c r="BE99" s="13">
        <f t="shared" si="109"/>
        <v>19437</v>
      </c>
      <c r="BG99" s="9">
        <f t="shared" si="110"/>
        <v>0</v>
      </c>
      <c r="BH99" s="13">
        <f t="shared" si="111"/>
        <v>19437</v>
      </c>
      <c r="BJ99" s="13">
        <f t="shared" si="112"/>
        <v>90</v>
      </c>
      <c r="BK99" s="13">
        <f t="shared" si="113"/>
        <v>19437</v>
      </c>
      <c r="BL99" s="13"/>
      <c r="BM99" s="13">
        <f t="shared" si="114"/>
        <v>37.04</v>
      </c>
      <c r="BN99" s="13">
        <f t="shared" si="115"/>
        <v>19437</v>
      </c>
      <c r="BO99" s="13"/>
      <c r="BP99" s="13"/>
      <c r="BQ99" s="10"/>
      <c r="BR99" s="10">
        <f t="shared" si="122"/>
        <v>-18.149999999999999</v>
      </c>
      <c r="BS99">
        <v>7100</v>
      </c>
      <c r="BT99" s="13"/>
      <c r="BV99" s="25">
        <f t="shared" si="84"/>
        <v>404.92117830182474</v>
      </c>
      <c r="BW99">
        <v>7100</v>
      </c>
      <c r="BX99" s="13"/>
      <c r="BZ99" s="10">
        <f t="shared" si="85"/>
        <v>-71.3</v>
      </c>
      <c r="CA99" s="13">
        <f t="shared" si="86"/>
        <v>61</v>
      </c>
      <c r="CB99" s="9">
        <f t="shared" si="87"/>
        <v>-92.6</v>
      </c>
      <c r="CC99" s="13">
        <f t="shared" si="88"/>
        <v>61</v>
      </c>
      <c r="CD99">
        <f t="shared" si="116"/>
        <v>19437</v>
      </c>
      <c r="CE99" s="13">
        <f t="shared" si="117"/>
        <v>61</v>
      </c>
      <c r="CF99" s="13"/>
      <c r="CV99" s="9">
        <f t="shared" si="123"/>
        <v>0.10527649721718926</v>
      </c>
      <c r="CW99" s="9">
        <f t="shared" si="118"/>
        <v>0</v>
      </c>
      <c r="CX99" s="9"/>
      <c r="CY99" s="9">
        <f t="shared" si="119"/>
        <v>0.10527649721718926</v>
      </c>
      <c r="CZ99" s="9">
        <f t="shared" si="120"/>
        <v>0</v>
      </c>
    </row>
    <row r="100" spans="1:104" x14ac:dyDescent="0.25">
      <c r="A100" s="8"/>
      <c r="B100" s="21" t="str">
        <f>'Eingabe Diagramme'!B93</f>
        <v xml:space="preserve">   60.1  19525  -70.9  -92.9      3   0.00    100     17  451.6  451.6  451.6</v>
      </c>
      <c r="C100" s="19"/>
      <c r="D100" s="19"/>
      <c r="E100" s="19"/>
      <c r="F100" s="19"/>
      <c r="G100" s="19"/>
      <c r="H100" s="19"/>
      <c r="I100" s="20"/>
      <c r="J100" s="19"/>
      <c r="K100" s="19"/>
      <c r="L100" s="11" t="str">
        <f t="shared" si="121"/>
        <v xml:space="preserve">   60.1</v>
      </c>
      <c r="M100" s="11" t="str">
        <f t="shared" si="69"/>
        <v>19525</v>
      </c>
      <c r="N100" s="11" t="str">
        <f t="shared" si="70"/>
        <v>-70.9</v>
      </c>
      <c r="O100" s="11" t="str">
        <f t="shared" si="71"/>
        <v>-92.9</v>
      </c>
      <c r="P100" s="11" t="str">
        <f t="shared" si="72"/>
        <v xml:space="preserve">  3</v>
      </c>
      <c r="Q100" s="11" t="str">
        <f t="shared" si="73"/>
        <v xml:space="preserve"> 0.00</v>
      </c>
      <c r="R100" s="11" t="str">
        <f t="shared" si="74"/>
        <v>100</v>
      </c>
      <c r="S100" s="11" t="str">
        <f t="shared" si="75"/>
        <v xml:space="preserve"> 17</v>
      </c>
      <c r="T100" s="11" t="str">
        <f t="shared" si="89"/>
        <v>451.6</v>
      </c>
      <c r="U100" s="11" t="str">
        <f t="shared" si="90"/>
        <v>451.6</v>
      </c>
      <c r="V100" s="11" t="str">
        <f t="shared" si="91"/>
        <v>451.6</v>
      </c>
      <c r="W100" s="11"/>
      <c r="Y100" s="13">
        <f t="shared" si="76"/>
        <v>60.1</v>
      </c>
      <c r="Z100" s="13">
        <f t="shared" si="77"/>
        <v>19525</v>
      </c>
      <c r="AA100" s="10">
        <f t="shared" si="78"/>
        <v>-70.900000000000006</v>
      </c>
      <c r="AB100" s="10">
        <f t="shared" si="79"/>
        <v>-92.9</v>
      </c>
      <c r="AC100" s="13">
        <f t="shared" si="80"/>
        <v>3</v>
      </c>
      <c r="AD100" s="9">
        <f t="shared" si="81"/>
        <v>0</v>
      </c>
      <c r="AE100" s="13">
        <f t="shared" si="82"/>
        <v>100</v>
      </c>
      <c r="AF100" s="13">
        <f t="shared" si="83"/>
        <v>17</v>
      </c>
      <c r="AG100" s="27">
        <f t="shared" si="92"/>
        <v>31.484000000000002</v>
      </c>
      <c r="AH100" s="29">
        <f t="shared" si="93"/>
        <v>451.6</v>
      </c>
      <c r="AI100" s="29">
        <f t="shared" si="94"/>
        <v>451.6</v>
      </c>
      <c r="AJ100" s="29">
        <f t="shared" si="95"/>
        <v>451.6</v>
      </c>
      <c r="AK100" s="27">
        <f t="shared" si="96"/>
        <v>178.45000000000005</v>
      </c>
      <c r="AL100" s="27">
        <f t="shared" si="97"/>
        <v>178.45000000000005</v>
      </c>
      <c r="AM100" s="27">
        <f t="shared" si="98"/>
        <v>178.45000000000005</v>
      </c>
      <c r="AP100" s="10">
        <f t="shared" si="99"/>
        <v>-92.9</v>
      </c>
      <c r="AQ100" s="13">
        <f t="shared" si="100"/>
        <v>19525</v>
      </c>
      <c r="AR100" s="10">
        <f t="shared" si="101"/>
        <v>-70.900000000000006</v>
      </c>
      <c r="AS100" s="13">
        <f t="shared" si="102"/>
        <v>19525</v>
      </c>
      <c r="AV100" s="13">
        <f t="shared" si="103"/>
        <v>60.1</v>
      </c>
      <c r="AW100" s="13">
        <f t="shared" si="104"/>
        <v>19525</v>
      </c>
      <c r="AY100" s="13">
        <f t="shared" si="105"/>
        <v>3</v>
      </c>
      <c r="AZ100" s="13">
        <f t="shared" si="106"/>
        <v>19525</v>
      </c>
      <c r="BA100" s="13"/>
      <c r="BB100" s="13"/>
      <c r="BC100" s="10">
        <f t="shared" si="107"/>
        <v>22</v>
      </c>
      <c r="BD100" s="10">
        <f t="shared" si="108"/>
        <v>22</v>
      </c>
      <c r="BE100" s="13">
        <f t="shared" si="109"/>
        <v>19525</v>
      </c>
      <c r="BG100" s="9">
        <f t="shared" si="110"/>
        <v>0</v>
      </c>
      <c r="BH100" s="13">
        <f t="shared" si="111"/>
        <v>19525</v>
      </c>
      <c r="BJ100" s="13">
        <f t="shared" si="112"/>
        <v>100</v>
      </c>
      <c r="BK100" s="13">
        <f t="shared" si="113"/>
        <v>19525</v>
      </c>
      <c r="BL100" s="13"/>
      <c r="BM100" s="13">
        <f t="shared" si="114"/>
        <v>31.484000000000002</v>
      </c>
      <c r="BN100" s="13">
        <f t="shared" si="115"/>
        <v>19525</v>
      </c>
      <c r="BO100" s="13"/>
      <c r="BP100" s="13"/>
      <c r="BQ100" s="10"/>
      <c r="BR100" s="10">
        <f t="shared" si="122"/>
        <v>-18.799999999999997</v>
      </c>
      <c r="BS100">
        <v>7200</v>
      </c>
      <c r="BT100" s="13"/>
      <c r="BV100" s="25">
        <f t="shared" si="84"/>
        <v>399.23841413652855</v>
      </c>
      <c r="BW100">
        <v>7200</v>
      </c>
      <c r="BX100" s="13"/>
      <c r="BZ100" s="10">
        <f t="shared" si="85"/>
        <v>-70.900000000000006</v>
      </c>
      <c r="CA100" s="13">
        <f t="shared" si="86"/>
        <v>60.1</v>
      </c>
      <c r="CB100" s="9">
        <f t="shared" si="87"/>
        <v>-92.9</v>
      </c>
      <c r="CC100" s="13">
        <f t="shared" si="88"/>
        <v>60.1</v>
      </c>
      <c r="CD100">
        <f t="shared" si="116"/>
        <v>19525</v>
      </c>
      <c r="CE100" s="13">
        <f t="shared" si="117"/>
        <v>60.1</v>
      </c>
      <c r="CF100" s="13"/>
      <c r="CV100" s="9">
        <f t="shared" si="123"/>
        <v>0.10351809875731692</v>
      </c>
      <c r="CW100" s="9">
        <f t="shared" si="118"/>
        <v>0</v>
      </c>
      <c r="CX100" s="9"/>
      <c r="CY100" s="9">
        <f t="shared" si="119"/>
        <v>0.10351809875731692</v>
      </c>
      <c r="CZ100" s="9">
        <f t="shared" si="120"/>
        <v>0</v>
      </c>
    </row>
    <row r="101" spans="1:104" x14ac:dyDescent="0.25">
      <c r="A101" s="8"/>
      <c r="B101" s="21" t="str">
        <f>'Eingabe Diagramme'!B94</f>
        <v xml:space="preserve">   58.6  19677  -65.9  -93.9      1   0.00    118     12  466.1  466.2  466.1</v>
      </c>
      <c r="C101" s="19"/>
      <c r="D101" s="19"/>
      <c r="E101" s="19"/>
      <c r="F101" s="19"/>
      <c r="G101" s="19"/>
      <c r="H101" s="19"/>
      <c r="I101" s="20"/>
      <c r="J101" s="19"/>
      <c r="K101" s="19"/>
      <c r="L101" s="11" t="str">
        <f t="shared" si="121"/>
        <v xml:space="preserve">   58.6</v>
      </c>
      <c r="M101" s="11" t="str">
        <f t="shared" si="69"/>
        <v>19677</v>
      </c>
      <c r="N101" s="11" t="str">
        <f t="shared" si="70"/>
        <v>-65.9</v>
      </c>
      <c r="O101" s="11" t="str">
        <f t="shared" si="71"/>
        <v>-93.9</v>
      </c>
      <c r="P101" s="11" t="str">
        <f t="shared" si="72"/>
        <v xml:space="preserve">  1</v>
      </c>
      <c r="Q101" s="11" t="str">
        <f t="shared" si="73"/>
        <v xml:space="preserve"> 0.00</v>
      </c>
      <c r="R101" s="11" t="str">
        <f t="shared" si="74"/>
        <v>118</v>
      </c>
      <c r="S101" s="11" t="str">
        <f t="shared" si="75"/>
        <v xml:space="preserve"> 12</v>
      </c>
      <c r="T101" s="11" t="str">
        <f t="shared" si="89"/>
        <v>466.1</v>
      </c>
      <c r="U101" s="11" t="str">
        <f t="shared" si="90"/>
        <v>466.2</v>
      </c>
      <c r="V101" s="11" t="str">
        <f t="shared" si="91"/>
        <v>466.1</v>
      </c>
      <c r="W101" s="11"/>
      <c r="Y101" s="13">
        <f t="shared" si="76"/>
        <v>58.6</v>
      </c>
      <c r="Z101" s="13">
        <f t="shared" si="77"/>
        <v>19677</v>
      </c>
      <c r="AA101" s="10">
        <f t="shared" si="78"/>
        <v>-65.900000000000006</v>
      </c>
      <c r="AB101" s="10">
        <f t="shared" si="79"/>
        <v>-93.9</v>
      </c>
      <c r="AC101" s="13">
        <f t="shared" si="80"/>
        <v>1</v>
      </c>
      <c r="AD101" s="9">
        <f t="shared" si="81"/>
        <v>0</v>
      </c>
      <c r="AE101" s="13">
        <f t="shared" si="82"/>
        <v>118</v>
      </c>
      <c r="AF101" s="13">
        <f t="shared" si="83"/>
        <v>12</v>
      </c>
      <c r="AG101" s="27">
        <f t="shared" si="92"/>
        <v>22.224</v>
      </c>
      <c r="AH101" s="29">
        <f t="shared" si="93"/>
        <v>466.1</v>
      </c>
      <c r="AI101" s="29">
        <f t="shared" si="94"/>
        <v>466.2</v>
      </c>
      <c r="AJ101" s="29">
        <f t="shared" si="95"/>
        <v>466.1</v>
      </c>
      <c r="AK101" s="27">
        <f t="shared" si="96"/>
        <v>192.95000000000005</v>
      </c>
      <c r="AL101" s="27">
        <f t="shared" si="97"/>
        <v>193.05</v>
      </c>
      <c r="AM101" s="27">
        <f t="shared" si="98"/>
        <v>192.95000000000005</v>
      </c>
      <c r="AP101" s="10">
        <f t="shared" si="99"/>
        <v>-93.9</v>
      </c>
      <c r="AQ101" s="13">
        <f t="shared" si="100"/>
        <v>19677</v>
      </c>
      <c r="AR101" s="10">
        <f t="shared" si="101"/>
        <v>-65.900000000000006</v>
      </c>
      <c r="AS101" s="13">
        <f t="shared" si="102"/>
        <v>19677</v>
      </c>
      <c r="AV101" s="13">
        <f t="shared" si="103"/>
        <v>58.6</v>
      </c>
      <c r="AW101" s="13">
        <f t="shared" si="104"/>
        <v>19677</v>
      </c>
      <c r="AY101" s="13">
        <f t="shared" si="105"/>
        <v>1</v>
      </c>
      <c r="AZ101" s="13">
        <f t="shared" si="106"/>
        <v>19677</v>
      </c>
      <c r="BA101" s="13"/>
      <c r="BB101" s="13"/>
      <c r="BC101" s="10">
        <f t="shared" si="107"/>
        <v>28</v>
      </c>
      <c r="BD101" s="10">
        <f t="shared" si="108"/>
        <v>28</v>
      </c>
      <c r="BE101" s="13">
        <f t="shared" si="109"/>
        <v>19677</v>
      </c>
      <c r="BG101" s="9">
        <f t="shared" si="110"/>
        <v>0</v>
      </c>
      <c r="BH101" s="13">
        <f t="shared" si="111"/>
        <v>19677</v>
      </c>
      <c r="BJ101" s="13">
        <f t="shared" si="112"/>
        <v>118</v>
      </c>
      <c r="BK101" s="13">
        <f t="shared" si="113"/>
        <v>19677</v>
      </c>
      <c r="BL101" s="13"/>
      <c r="BM101" s="13">
        <f t="shared" si="114"/>
        <v>22.224</v>
      </c>
      <c r="BN101" s="13">
        <f t="shared" si="115"/>
        <v>19677</v>
      </c>
      <c r="BO101" s="13"/>
      <c r="BP101" s="13"/>
      <c r="BQ101" s="10"/>
      <c r="BR101" s="10">
        <f t="shared" si="122"/>
        <v>-19.449999999999996</v>
      </c>
      <c r="BS101">
        <v>7300</v>
      </c>
      <c r="BT101" s="13"/>
      <c r="BV101" s="25">
        <f t="shared" si="84"/>
        <v>393.62039980239905</v>
      </c>
      <c r="BW101">
        <v>7300</v>
      </c>
      <c r="BX101" s="13"/>
      <c r="BZ101" s="10">
        <f t="shared" si="85"/>
        <v>-65.900000000000006</v>
      </c>
      <c r="CA101" s="13">
        <f t="shared" si="86"/>
        <v>58.6</v>
      </c>
      <c r="CB101" s="9">
        <f t="shared" si="87"/>
        <v>-93.9</v>
      </c>
      <c r="CC101" s="13">
        <f t="shared" si="88"/>
        <v>58.6</v>
      </c>
      <c r="CD101">
        <f t="shared" si="116"/>
        <v>19677</v>
      </c>
      <c r="CE101" s="13">
        <f t="shared" si="117"/>
        <v>58.6</v>
      </c>
      <c r="CF101" s="13"/>
      <c r="CV101" s="9">
        <f t="shared" si="123"/>
        <v>9.8499363044455973E-2</v>
      </c>
      <c r="CW101" s="9">
        <f t="shared" si="118"/>
        <v>0</v>
      </c>
      <c r="CX101" s="9"/>
      <c r="CY101" s="9">
        <f t="shared" si="119"/>
        <v>9.8499363044455973E-2</v>
      </c>
      <c r="CZ101" s="9">
        <f t="shared" si="120"/>
        <v>0</v>
      </c>
    </row>
    <row r="102" spans="1:104" x14ac:dyDescent="0.25">
      <c r="A102" s="8"/>
      <c r="B102" s="21" t="str">
        <f>'Eingabe Diagramme'!B95</f>
        <v xml:space="preserve">   58.0  19739  -66.2  -93.7      1   0.00    125     10  466.8  466.8  466.8</v>
      </c>
      <c r="C102" s="19"/>
      <c r="D102" s="19"/>
      <c r="E102" s="19"/>
      <c r="F102" s="19"/>
      <c r="G102" s="19"/>
      <c r="H102" s="19"/>
      <c r="I102" s="20"/>
      <c r="J102" s="19"/>
      <c r="K102" s="19"/>
      <c r="L102" s="11" t="str">
        <f t="shared" si="121"/>
        <v xml:space="preserve">   58.0</v>
      </c>
      <c r="M102" s="11" t="str">
        <f t="shared" si="69"/>
        <v>19739</v>
      </c>
      <c r="N102" s="11" t="str">
        <f t="shared" si="70"/>
        <v>-66.2</v>
      </c>
      <c r="O102" s="11" t="str">
        <f t="shared" si="71"/>
        <v>-93.7</v>
      </c>
      <c r="P102" s="11" t="str">
        <f t="shared" si="72"/>
        <v xml:space="preserve">  1</v>
      </c>
      <c r="Q102" s="11" t="str">
        <f t="shared" si="73"/>
        <v xml:space="preserve"> 0.00</v>
      </c>
      <c r="R102" s="11" t="str">
        <f t="shared" si="74"/>
        <v>125</v>
      </c>
      <c r="S102" s="11" t="str">
        <f t="shared" si="75"/>
        <v xml:space="preserve"> 10</v>
      </c>
      <c r="T102" s="11" t="str">
        <f t="shared" si="89"/>
        <v>466.8</v>
      </c>
      <c r="U102" s="11" t="str">
        <f t="shared" si="90"/>
        <v>466.8</v>
      </c>
      <c r="V102" s="11" t="str">
        <f t="shared" si="91"/>
        <v>466.8</v>
      </c>
      <c r="W102" s="11"/>
      <c r="Y102" s="13">
        <f t="shared" si="76"/>
        <v>58</v>
      </c>
      <c r="Z102" s="13">
        <f t="shared" si="77"/>
        <v>19739</v>
      </c>
      <c r="AA102" s="10">
        <f t="shared" si="78"/>
        <v>-66.2</v>
      </c>
      <c r="AB102" s="10">
        <f t="shared" si="79"/>
        <v>-93.7</v>
      </c>
      <c r="AC102" s="13">
        <f t="shared" si="80"/>
        <v>1</v>
      </c>
      <c r="AD102" s="9">
        <f t="shared" si="81"/>
        <v>0</v>
      </c>
      <c r="AE102" s="13">
        <f t="shared" si="82"/>
        <v>125</v>
      </c>
      <c r="AF102" s="13">
        <f t="shared" si="83"/>
        <v>10</v>
      </c>
      <c r="AG102" s="27">
        <f t="shared" si="92"/>
        <v>18.52</v>
      </c>
      <c r="AH102" s="29">
        <f t="shared" si="93"/>
        <v>466.8</v>
      </c>
      <c r="AI102" s="29">
        <f t="shared" si="94"/>
        <v>466.8</v>
      </c>
      <c r="AJ102" s="29">
        <f t="shared" si="95"/>
        <v>466.8</v>
      </c>
      <c r="AK102" s="27">
        <f t="shared" si="96"/>
        <v>193.65000000000003</v>
      </c>
      <c r="AL102" s="27">
        <f t="shared" si="97"/>
        <v>193.65000000000003</v>
      </c>
      <c r="AM102" s="27">
        <f t="shared" si="98"/>
        <v>193.65000000000003</v>
      </c>
      <c r="AP102" s="10">
        <f t="shared" si="99"/>
        <v>-93.7</v>
      </c>
      <c r="AQ102" s="13">
        <f t="shared" si="100"/>
        <v>19739</v>
      </c>
      <c r="AR102" s="10">
        <f t="shared" si="101"/>
        <v>-66.2</v>
      </c>
      <c r="AS102" s="13">
        <f t="shared" si="102"/>
        <v>19739</v>
      </c>
      <c r="AV102" s="13">
        <f t="shared" si="103"/>
        <v>58</v>
      </c>
      <c r="AW102" s="13">
        <f t="shared" si="104"/>
        <v>19739</v>
      </c>
      <c r="AY102" s="13">
        <f t="shared" si="105"/>
        <v>1</v>
      </c>
      <c r="AZ102" s="13">
        <f t="shared" si="106"/>
        <v>19739</v>
      </c>
      <c r="BA102" s="13"/>
      <c r="BB102" s="13"/>
      <c r="BC102" s="10">
        <f t="shared" si="107"/>
        <v>27.5</v>
      </c>
      <c r="BD102" s="10">
        <f t="shared" si="108"/>
        <v>27.5</v>
      </c>
      <c r="BE102" s="13">
        <f t="shared" si="109"/>
        <v>19739</v>
      </c>
      <c r="BG102" s="9">
        <f t="shared" si="110"/>
        <v>0</v>
      </c>
      <c r="BH102" s="13">
        <f t="shared" si="111"/>
        <v>19739</v>
      </c>
      <c r="BJ102" s="13">
        <f t="shared" si="112"/>
        <v>125</v>
      </c>
      <c r="BK102" s="13">
        <f t="shared" si="113"/>
        <v>19739</v>
      </c>
      <c r="BL102" s="13"/>
      <c r="BM102" s="13">
        <f t="shared" si="114"/>
        <v>18.52</v>
      </c>
      <c r="BN102" s="13">
        <f t="shared" si="115"/>
        <v>19739</v>
      </c>
      <c r="BO102" s="13"/>
      <c r="BP102" s="13"/>
      <c r="BQ102" s="10"/>
      <c r="BR102" s="10">
        <f t="shared" si="122"/>
        <v>-20.099999999999994</v>
      </c>
      <c r="BS102">
        <v>7400</v>
      </c>
      <c r="BT102" s="13"/>
      <c r="BV102" s="25">
        <f t="shared" si="84"/>
        <v>388.06656940525954</v>
      </c>
      <c r="BW102">
        <v>7400</v>
      </c>
      <c r="BX102" s="13"/>
      <c r="BZ102" s="10">
        <f t="shared" si="85"/>
        <v>-66.2</v>
      </c>
      <c r="CA102" s="13">
        <f t="shared" si="86"/>
        <v>58</v>
      </c>
      <c r="CB102" s="9">
        <f t="shared" si="87"/>
        <v>-93.7</v>
      </c>
      <c r="CC102" s="13">
        <f t="shared" si="88"/>
        <v>58</v>
      </c>
      <c r="CD102">
        <f t="shared" si="116"/>
        <v>19739</v>
      </c>
      <c r="CE102" s="13">
        <f t="shared" si="117"/>
        <v>58</v>
      </c>
      <c r="CF102" s="13"/>
      <c r="CV102" s="9">
        <f t="shared" si="123"/>
        <v>9.7632162347822959E-2</v>
      </c>
      <c r="CW102" s="9">
        <f t="shared" si="118"/>
        <v>0</v>
      </c>
      <c r="CX102" s="9"/>
      <c r="CY102" s="9">
        <f t="shared" si="119"/>
        <v>9.7632162347822959E-2</v>
      </c>
      <c r="CZ102" s="9">
        <f t="shared" si="120"/>
        <v>0</v>
      </c>
    </row>
    <row r="103" spans="1:104" x14ac:dyDescent="0.25">
      <c r="A103" s="8"/>
      <c r="B103" s="21" t="str">
        <f>'Eingabe Diagramme'!B96</f>
        <v xml:space="preserve">   56.4  19909  -67.1  -93.1      1   0.00    185      4  468.5  468.6  468.5</v>
      </c>
      <c r="C103" s="19"/>
      <c r="D103" s="19"/>
      <c r="E103" s="19"/>
      <c r="F103" s="19"/>
      <c r="G103" s="19"/>
      <c r="H103" s="19"/>
      <c r="I103" s="20"/>
      <c r="J103" s="19"/>
      <c r="K103" s="19"/>
      <c r="L103" s="11" t="str">
        <f t="shared" si="121"/>
        <v xml:space="preserve">   56.4</v>
      </c>
      <c r="M103" s="11" t="str">
        <f t="shared" si="69"/>
        <v>19909</v>
      </c>
      <c r="N103" s="11" t="str">
        <f t="shared" si="70"/>
        <v>-67.1</v>
      </c>
      <c r="O103" s="11" t="str">
        <f t="shared" si="71"/>
        <v>-93.1</v>
      </c>
      <c r="P103" s="11" t="str">
        <f t="shared" si="72"/>
        <v xml:space="preserve">  1</v>
      </c>
      <c r="Q103" s="11" t="str">
        <f t="shared" si="73"/>
        <v xml:space="preserve"> 0.00</v>
      </c>
      <c r="R103" s="11" t="str">
        <f t="shared" si="74"/>
        <v>185</v>
      </c>
      <c r="S103" s="11" t="str">
        <f t="shared" si="75"/>
        <v xml:space="preserve">  4</v>
      </c>
      <c r="T103" s="11" t="str">
        <f t="shared" si="89"/>
        <v>468.5</v>
      </c>
      <c r="U103" s="11" t="str">
        <f t="shared" si="90"/>
        <v>468.6</v>
      </c>
      <c r="V103" s="11" t="str">
        <f t="shared" si="91"/>
        <v>468.5</v>
      </c>
      <c r="W103" s="11"/>
      <c r="Y103" s="13">
        <f t="shared" si="76"/>
        <v>56.4</v>
      </c>
      <c r="Z103" s="13">
        <f t="shared" si="77"/>
        <v>19909</v>
      </c>
      <c r="AA103" s="10">
        <f t="shared" si="78"/>
        <v>-67.099999999999994</v>
      </c>
      <c r="AB103" s="10">
        <f t="shared" si="79"/>
        <v>-93.1</v>
      </c>
      <c r="AC103" s="13">
        <f t="shared" si="80"/>
        <v>1</v>
      </c>
      <c r="AD103" s="9">
        <f t="shared" si="81"/>
        <v>0</v>
      </c>
      <c r="AE103" s="13">
        <f t="shared" si="82"/>
        <v>185</v>
      </c>
      <c r="AF103" s="13">
        <f t="shared" si="83"/>
        <v>4</v>
      </c>
      <c r="AG103" s="27">
        <f t="shared" si="92"/>
        <v>7.4080000000000004</v>
      </c>
      <c r="AH103" s="29">
        <f t="shared" si="93"/>
        <v>468.5</v>
      </c>
      <c r="AI103" s="29">
        <f t="shared" si="94"/>
        <v>468.6</v>
      </c>
      <c r="AJ103" s="29">
        <f t="shared" si="95"/>
        <v>468.5</v>
      </c>
      <c r="AK103" s="27">
        <f t="shared" si="96"/>
        <v>195.35000000000002</v>
      </c>
      <c r="AL103" s="27">
        <f t="shared" si="97"/>
        <v>195.45000000000005</v>
      </c>
      <c r="AM103" s="27">
        <f t="shared" si="98"/>
        <v>195.35000000000002</v>
      </c>
      <c r="AP103" s="10">
        <f t="shared" si="99"/>
        <v>-93.1</v>
      </c>
      <c r="AQ103" s="13">
        <f t="shared" si="100"/>
        <v>19909</v>
      </c>
      <c r="AR103" s="10">
        <f t="shared" si="101"/>
        <v>-67.099999999999994</v>
      </c>
      <c r="AS103" s="13">
        <f t="shared" si="102"/>
        <v>19909</v>
      </c>
      <c r="AV103" s="13">
        <f t="shared" si="103"/>
        <v>56.4</v>
      </c>
      <c r="AW103" s="13">
        <f t="shared" si="104"/>
        <v>19909</v>
      </c>
      <c r="AY103" s="13">
        <f t="shared" si="105"/>
        <v>1</v>
      </c>
      <c r="AZ103" s="13">
        <f t="shared" si="106"/>
        <v>19909</v>
      </c>
      <c r="BA103" s="13"/>
      <c r="BB103" s="13"/>
      <c r="BC103" s="10">
        <f t="shared" si="107"/>
        <v>26</v>
      </c>
      <c r="BD103" s="10">
        <f t="shared" si="108"/>
        <v>26</v>
      </c>
      <c r="BE103" s="13">
        <f t="shared" si="109"/>
        <v>19909</v>
      </c>
      <c r="BG103" s="9">
        <f t="shared" si="110"/>
        <v>0</v>
      </c>
      <c r="BH103" s="13">
        <f t="shared" si="111"/>
        <v>19909</v>
      </c>
      <c r="BJ103" s="13">
        <f t="shared" si="112"/>
        <v>185</v>
      </c>
      <c r="BK103" s="13">
        <f t="shared" si="113"/>
        <v>19909</v>
      </c>
      <c r="BL103" s="13"/>
      <c r="BM103" s="13">
        <f t="shared" si="114"/>
        <v>7.4080000000000004</v>
      </c>
      <c r="BN103" s="13">
        <f t="shared" si="115"/>
        <v>19909</v>
      </c>
      <c r="BO103" s="13"/>
      <c r="BP103" s="13"/>
      <c r="BQ103" s="10"/>
      <c r="BR103" s="10">
        <f t="shared" si="122"/>
        <v>-20.75</v>
      </c>
      <c r="BS103">
        <v>7500</v>
      </c>
      <c r="BT103" s="13"/>
      <c r="BV103" s="25">
        <f t="shared" si="84"/>
        <v>382.57636048648567</v>
      </c>
      <c r="BW103">
        <v>7500</v>
      </c>
      <c r="BX103" s="13"/>
      <c r="BZ103" s="10">
        <f t="shared" si="85"/>
        <v>-67.099999999999994</v>
      </c>
      <c r="CA103" s="13">
        <f t="shared" si="86"/>
        <v>56.4</v>
      </c>
      <c r="CB103" s="9">
        <f t="shared" si="87"/>
        <v>-93.1</v>
      </c>
      <c r="CC103" s="13">
        <f t="shared" si="88"/>
        <v>56.4</v>
      </c>
      <c r="CD103">
        <f t="shared" si="116"/>
        <v>19909</v>
      </c>
      <c r="CE103" s="13">
        <f t="shared" si="117"/>
        <v>56.4</v>
      </c>
      <c r="CF103" s="13"/>
      <c r="CV103" s="9">
        <f t="shared" si="123"/>
        <v>9.5353542099803595E-2</v>
      </c>
      <c r="CW103" s="9">
        <f t="shared" si="118"/>
        <v>0</v>
      </c>
      <c r="CX103" s="9"/>
      <c r="CY103" s="9">
        <f t="shared" si="119"/>
        <v>9.5353542099803595E-2</v>
      </c>
      <c r="CZ103" s="9">
        <f t="shared" si="120"/>
        <v>0</v>
      </c>
    </row>
    <row r="104" spans="1:104" x14ac:dyDescent="0.25">
      <c r="A104" s="8"/>
      <c r="B104" s="21" t="str">
        <f>'Eingabe Diagramme'!B97</f>
        <v xml:space="preserve">   56.0  19952  -67.0  -93.0      1   0.00    200      2  469.7  469.7  469.7</v>
      </c>
      <c r="C104" s="19"/>
      <c r="D104" s="19"/>
      <c r="E104" s="19"/>
      <c r="F104" s="19"/>
      <c r="G104" s="19"/>
      <c r="H104" s="19"/>
      <c r="I104" s="20"/>
      <c r="J104" s="19"/>
      <c r="K104" s="19"/>
      <c r="L104" s="11" t="str">
        <f t="shared" si="121"/>
        <v xml:space="preserve">   56.0</v>
      </c>
      <c r="M104" s="11" t="str">
        <f t="shared" si="69"/>
        <v>19952</v>
      </c>
      <c r="N104" s="11" t="str">
        <f t="shared" si="70"/>
        <v>-67.0</v>
      </c>
      <c r="O104" s="11" t="str">
        <f t="shared" si="71"/>
        <v>-93.0</v>
      </c>
      <c r="P104" s="11" t="str">
        <f t="shared" si="72"/>
        <v xml:space="preserve">  1</v>
      </c>
      <c r="Q104" s="11" t="str">
        <f t="shared" si="73"/>
        <v xml:space="preserve"> 0.00</v>
      </c>
      <c r="R104" s="11" t="str">
        <f t="shared" si="74"/>
        <v>200</v>
      </c>
      <c r="S104" s="11" t="str">
        <f t="shared" si="75"/>
        <v xml:space="preserve">  2</v>
      </c>
      <c r="T104" s="11" t="str">
        <f t="shared" si="89"/>
        <v>469.7</v>
      </c>
      <c r="U104" s="11" t="str">
        <f t="shared" si="90"/>
        <v>469.7</v>
      </c>
      <c r="V104" s="11" t="str">
        <f t="shared" si="91"/>
        <v>469.7</v>
      </c>
      <c r="W104" s="11"/>
      <c r="Y104" s="13">
        <f t="shared" si="76"/>
        <v>56</v>
      </c>
      <c r="Z104" s="13">
        <f t="shared" si="77"/>
        <v>19952</v>
      </c>
      <c r="AA104" s="10">
        <f t="shared" si="78"/>
        <v>-67</v>
      </c>
      <c r="AB104" s="10">
        <f t="shared" si="79"/>
        <v>-93</v>
      </c>
      <c r="AC104" s="13">
        <f t="shared" si="80"/>
        <v>1</v>
      </c>
      <c r="AD104" s="9">
        <f t="shared" si="81"/>
        <v>0</v>
      </c>
      <c r="AE104" s="13">
        <f t="shared" si="82"/>
        <v>200</v>
      </c>
      <c r="AF104" s="13">
        <f t="shared" si="83"/>
        <v>2</v>
      </c>
      <c r="AG104" s="27">
        <f t="shared" si="92"/>
        <v>3.7040000000000002</v>
      </c>
      <c r="AH104" s="29">
        <f t="shared" si="93"/>
        <v>469.7</v>
      </c>
      <c r="AI104" s="29">
        <f t="shared" si="94"/>
        <v>469.7</v>
      </c>
      <c r="AJ104" s="29">
        <f t="shared" si="95"/>
        <v>469.7</v>
      </c>
      <c r="AK104" s="27">
        <f t="shared" si="96"/>
        <v>196.55</v>
      </c>
      <c r="AL104" s="27">
        <f t="shared" si="97"/>
        <v>196.55</v>
      </c>
      <c r="AM104" s="27">
        <f t="shared" si="98"/>
        <v>196.55</v>
      </c>
      <c r="AP104" s="10">
        <f t="shared" si="99"/>
        <v>-93</v>
      </c>
      <c r="AQ104" s="13">
        <f t="shared" si="100"/>
        <v>19952</v>
      </c>
      <c r="AR104" s="10">
        <f t="shared" si="101"/>
        <v>-67</v>
      </c>
      <c r="AS104" s="13">
        <f t="shared" si="102"/>
        <v>19952</v>
      </c>
      <c r="AV104" s="13">
        <f t="shared" si="103"/>
        <v>56</v>
      </c>
      <c r="AW104" s="13">
        <f t="shared" si="104"/>
        <v>19952</v>
      </c>
      <c r="AY104" s="13">
        <f t="shared" si="105"/>
        <v>1</v>
      </c>
      <c r="AZ104" s="13">
        <f t="shared" si="106"/>
        <v>19952</v>
      </c>
      <c r="BA104" s="13"/>
      <c r="BB104" s="13"/>
      <c r="BC104" s="10">
        <f t="shared" si="107"/>
        <v>26</v>
      </c>
      <c r="BD104" s="10">
        <f t="shared" si="108"/>
        <v>26</v>
      </c>
      <c r="BE104" s="13">
        <f t="shared" si="109"/>
        <v>19952</v>
      </c>
      <c r="BG104" s="9">
        <f t="shared" si="110"/>
        <v>0</v>
      </c>
      <c r="BH104" s="13">
        <f t="shared" si="111"/>
        <v>19952</v>
      </c>
      <c r="BJ104" s="13">
        <f t="shared" si="112"/>
        <v>200</v>
      </c>
      <c r="BK104" s="13">
        <f t="shared" si="113"/>
        <v>19952</v>
      </c>
      <c r="BL104" s="13"/>
      <c r="BM104" s="13">
        <f t="shared" si="114"/>
        <v>3.7040000000000002</v>
      </c>
      <c r="BN104" s="13">
        <f t="shared" si="115"/>
        <v>19952</v>
      </c>
      <c r="BO104" s="13"/>
      <c r="BP104" s="13"/>
      <c r="BQ104" s="10"/>
      <c r="BR104" s="10">
        <f t="shared" si="122"/>
        <v>-21.4</v>
      </c>
      <c r="BS104">
        <v>7600</v>
      </c>
      <c r="BT104" s="13"/>
      <c r="BV104" s="25">
        <f t="shared" si="84"/>
        <v>377.14921401136769</v>
      </c>
      <c r="BW104">
        <v>7600</v>
      </c>
      <c r="BX104" s="13"/>
      <c r="BZ104" s="10">
        <f t="shared" si="85"/>
        <v>-67</v>
      </c>
      <c r="CA104" s="13">
        <f t="shared" si="86"/>
        <v>56</v>
      </c>
      <c r="CB104" s="9">
        <f t="shared" si="87"/>
        <v>-93</v>
      </c>
      <c r="CC104" s="13">
        <f t="shared" si="88"/>
        <v>56</v>
      </c>
      <c r="CD104">
        <f t="shared" si="116"/>
        <v>19952</v>
      </c>
      <c r="CE104" s="13">
        <f t="shared" si="117"/>
        <v>56</v>
      </c>
      <c r="CF104" s="13"/>
      <c r="CV104" s="9">
        <f t="shared" si="123"/>
        <v>9.4631349442688195E-2</v>
      </c>
      <c r="CW104" s="9">
        <f t="shared" si="118"/>
        <v>0</v>
      </c>
      <c r="CX104" s="9"/>
      <c r="CY104" s="9">
        <f t="shared" si="119"/>
        <v>9.4631349442688195E-2</v>
      </c>
      <c r="CZ104" s="9">
        <f t="shared" si="120"/>
        <v>0</v>
      </c>
    </row>
    <row r="105" spans="1:104" x14ac:dyDescent="0.25">
      <c r="A105" s="8"/>
      <c r="B105" s="21" t="str">
        <f>'Eingabe Diagramme'!B98</f>
        <v xml:space="preserve">   55.0  20061  -66.8  -92.8      1   0.00    245     10  472.5  472.5  472.5</v>
      </c>
      <c r="C105" s="19"/>
      <c r="D105" s="19"/>
      <c r="E105" s="19"/>
      <c r="F105" s="19"/>
      <c r="G105" s="19"/>
      <c r="H105" s="19"/>
      <c r="I105" s="20"/>
      <c r="J105" s="19"/>
      <c r="K105" s="19"/>
      <c r="L105" s="11" t="str">
        <f t="shared" si="121"/>
        <v xml:space="preserve">   55.0</v>
      </c>
      <c r="M105" s="11" t="str">
        <f t="shared" si="69"/>
        <v>20061</v>
      </c>
      <c r="N105" s="11" t="str">
        <f t="shared" si="70"/>
        <v>-66.8</v>
      </c>
      <c r="O105" s="11" t="str">
        <f t="shared" si="71"/>
        <v>-92.8</v>
      </c>
      <c r="P105" s="11" t="str">
        <f t="shared" si="72"/>
        <v xml:space="preserve">  1</v>
      </c>
      <c r="Q105" s="11" t="str">
        <f t="shared" si="73"/>
        <v xml:space="preserve"> 0.00</v>
      </c>
      <c r="R105" s="11" t="str">
        <f t="shared" si="74"/>
        <v>245</v>
      </c>
      <c r="S105" s="11" t="str">
        <f t="shared" si="75"/>
        <v xml:space="preserve"> 10</v>
      </c>
      <c r="T105" s="11" t="str">
        <f t="shared" si="89"/>
        <v>472.5</v>
      </c>
      <c r="U105" s="11" t="str">
        <f t="shared" si="90"/>
        <v>472.5</v>
      </c>
      <c r="V105" s="11" t="str">
        <f t="shared" si="91"/>
        <v>472.5</v>
      </c>
      <c r="W105" s="11"/>
      <c r="Y105" s="13">
        <f t="shared" si="76"/>
        <v>55</v>
      </c>
      <c r="Z105" s="13">
        <f t="shared" si="77"/>
        <v>20061</v>
      </c>
      <c r="AA105" s="10">
        <f t="shared" si="78"/>
        <v>-66.8</v>
      </c>
      <c r="AB105" s="10">
        <f t="shared" si="79"/>
        <v>-92.8</v>
      </c>
      <c r="AC105" s="13">
        <f t="shared" si="80"/>
        <v>1</v>
      </c>
      <c r="AD105" s="9">
        <f t="shared" si="81"/>
        <v>0</v>
      </c>
      <c r="AE105" s="13">
        <f t="shared" si="82"/>
        <v>245</v>
      </c>
      <c r="AF105" s="13">
        <f t="shared" si="83"/>
        <v>10</v>
      </c>
      <c r="AG105" s="27">
        <f t="shared" si="92"/>
        <v>18.52</v>
      </c>
      <c r="AH105" s="29">
        <f t="shared" si="93"/>
        <v>472.5</v>
      </c>
      <c r="AI105" s="29">
        <f t="shared" si="94"/>
        <v>472.5</v>
      </c>
      <c r="AJ105" s="29">
        <f t="shared" si="95"/>
        <v>472.5</v>
      </c>
      <c r="AK105" s="27">
        <f t="shared" si="96"/>
        <v>199.35000000000002</v>
      </c>
      <c r="AL105" s="27">
        <f t="shared" si="97"/>
        <v>199.35000000000002</v>
      </c>
      <c r="AM105" s="27">
        <f t="shared" si="98"/>
        <v>199.35000000000002</v>
      </c>
      <c r="AP105" s="10">
        <f t="shared" si="99"/>
        <v>-92.8</v>
      </c>
      <c r="AQ105" s="13">
        <f t="shared" si="100"/>
        <v>20061</v>
      </c>
      <c r="AR105" s="10">
        <f t="shared" si="101"/>
        <v>-66.8</v>
      </c>
      <c r="AS105" s="13">
        <f t="shared" si="102"/>
        <v>20061</v>
      </c>
      <c r="AV105" s="13">
        <f t="shared" si="103"/>
        <v>55</v>
      </c>
      <c r="AW105" s="13">
        <f t="shared" si="104"/>
        <v>20061</v>
      </c>
      <c r="AY105" s="13">
        <f t="shared" si="105"/>
        <v>1</v>
      </c>
      <c r="AZ105" s="13">
        <f t="shared" si="106"/>
        <v>20061</v>
      </c>
      <c r="BA105" s="13"/>
      <c r="BB105" s="13"/>
      <c r="BC105" s="10">
        <f t="shared" si="107"/>
        <v>26</v>
      </c>
      <c r="BD105" s="10">
        <f t="shared" si="108"/>
        <v>26</v>
      </c>
      <c r="BE105" s="13">
        <f t="shared" si="109"/>
        <v>20061</v>
      </c>
      <c r="BG105" s="9">
        <f t="shared" si="110"/>
        <v>0</v>
      </c>
      <c r="BH105" s="13">
        <f t="shared" si="111"/>
        <v>20061</v>
      </c>
      <c r="BJ105" s="13">
        <f t="shared" si="112"/>
        <v>245</v>
      </c>
      <c r="BK105" s="13">
        <f t="shared" si="113"/>
        <v>20061</v>
      </c>
      <c r="BL105" s="13"/>
      <c r="BM105" s="13">
        <f t="shared" si="114"/>
        <v>18.52</v>
      </c>
      <c r="BN105" s="13">
        <f t="shared" si="115"/>
        <v>20061</v>
      </c>
      <c r="BO105" s="13"/>
      <c r="BP105" s="13"/>
      <c r="BQ105" s="10"/>
      <c r="BR105" s="10">
        <f t="shared" si="122"/>
        <v>-22.049999999999997</v>
      </c>
      <c r="BS105">
        <v>7700</v>
      </c>
      <c r="BT105" s="13"/>
      <c r="BV105" s="25">
        <f t="shared" si="84"/>
        <v>371.7845743574776</v>
      </c>
      <c r="BW105">
        <v>7700</v>
      </c>
      <c r="BX105" s="13"/>
      <c r="BZ105" s="10">
        <f t="shared" si="85"/>
        <v>-66.8</v>
      </c>
      <c r="CA105" s="13">
        <f t="shared" si="86"/>
        <v>55</v>
      </c>
      <c r="CB105" s="9">
        <f t="shared" si="87"/>
        <v>-92.8</v>
      </c>
      <c r="CC105" s="13">
        <f t="shared" si="88"/>
        <v>55</v>
      </c>
      <c r="CD105">
        <f t="shared" si="116"/>
        <v>20061</v>
      </c>
      <c r="CE105" s="13">
        <f t="shared" si="117"/>
        <v>55</v>
      </c>
      <c r="CF105" s="13"/>
      <c r="CV105" s="9">
        <f t="shared" si="123"/>
        <v>9.2851422498058042E-2</v>
      </c>
      <c r="CW105" s="9">
        <f t="shared" si="118"/>
        <v>0</v>
      </c>
      <c r="CX105" s="9"/>
      <c r="CY105" s="9">
        <f t="shared" si="119"/>
        <v>9.2851422498058042E-2</v>
      </c>
      <c r="CZ105" s="9">
        <f t="shared" si="120"/>
        <v>0</v>
      </c>
    </row>
    <row r="106" spans="1:104" x14ac:dyDescent="0.25">
      <c r="A106" s="8"/>
      <c r="B106" s="21" t="str">
        <f>'Eingabe Diagramme'!B99</f>
        <v xml:space="preserve">   53.0  20286  -66.5  -92.5      2   0.00    290     17  478.4  478.4  478.4</v>
      </c>
      <c r="C106" s="19"/>
      <c r="D106" s="19"/>
      <c r="E106" s="19"/>
      <c r="F106" s="19"/>
      <c r="G106" s="19"/>
      <c r="H106" s="19"/>
      <c r="I106" s="20"/>
      <c r="J106" s="19"/>
      <c r="K106" s="19"/>
      <c r="L106" s="11" t="str">
        <f t="shared" si="121"/>
        <v xml:space="preserve">   53.0</v>
      </c>
      <c r="M106" s="11" t="str">
        <f t="shared" si="69"/>
        <v>20286</v>
      </c>
      <c r="N106" s="11" t="str">
        <f t="shared" si="70"/>
        <v>-66.5</v>
      </c>
      <c r="O106" s="11" t="str">
        <f t="shared" si="71"/>
        <v>-92.5</v>
      </c>
      <c r="P106" s="11" t="str">
        <f t="shared" si="72"/>
        <v xml:space="preserve">  2</v>
      </c>
      <c r="Q106" s="11" t="str">
        <f t="shared" si="73"/>
        <v xml:space="preserve"> 0.00</v>
      </c>
      <c r="R106" s="11" t="str">
        <f t="shared" si="74"/>
        <v>290</v>
      </c>
      <c r="S106" s="11" t="str">
        <f t="shared" si="75"/>
        <v xml:space="preserve"> 17</v>
      </c>
      <c r="T106" s="11" t="str">
        <f t="shared" si="89"/>
        <v>478.4</v>
      </c>
      <c r="U106" s="11" t="str">
        <f t="shared" si="90"/>
        <v>478.4</v>
      </c>
      <c r="V106" s="11" t="str">
        <f t="shared" si="91"/>
        <v>478.4</v>
      </c>
      <c r="W106" s="11"/>
      <c r="Y106" s="13">
        <f t="shared" si="76"/>
        <v>53</v>
      </c>
      <c r="Z106" s="13">
        <f t="shared" si="77"/>
        <v>20286</v>
      </c>
      <c r="AA106" s="10">
        <f t="shared" si="78"/>
        <v>-66.5</v>
      </c>
      <c r="AB106" s="10">
        <f t="shared" si="79"/>
        <v>-92.5</v>
      </c>
      <c r="AC106" s="13">
        <f t="shared" si="80"/>
        <v>2</v>
      </c>
      <c r="AD106" s="9">
        <f t="shared" si="81"/>
        <v>0</v>
      </c>
      <c r="AE106" s="13">
        <f t="shared" si="82"/>
        <v>290</v>
      </c>
      <c r="AF106" s="13">
        <f t="shared" si="83"/>
        <v>17</v>
      </c>
      <c r="AG106" s="27">
        <f t="shared" si="92"/>
        <v>31.484000000000002</v>
      </c>
      <c r="AH106" s="29">
        <f t="shared" si="93"/>
        <v>478.4</v>
      </c>
      <c r="AI106" s="29">
        <f t="shared" si="94"/>
        <v>478.4</v>
      </c>
      <c r="AJ106" s="29">
        <f t="shared" si="95"/>
        <v>478.4</v>
      </c>
      <c r="AK106" s="27">
        <f t="shared" si="96"/>
        <v>205.25</v>
      </c>
      <c r="AL106" s="27">
        <f t="shared" si="97"/>
        <v>205.25</v>
      </c>
      <c r="AM106" s="27">
        <f t="shared" si="98"/>
        <v>205.25</v>
      </c>
      <c r="AP106" s="10">
        <f t="shared" si="99"/>
        <v>-92.5</v>
      </c>
      <c r="AQ106" s="13">
        <f t="shared" si="100"/>
        <v>20286</v>
      </c>
      <c r="AR106" s="10">
        <f t="shared" si="101"/>
        <v>-66.5</v>
      </c>
      <c r="AS106" s="13">
        <f t="shared" si="102"/>
        <v>20286</v>
      </c>
      <c r="AV106" s="13">
        <f t="shared" si="103"/>
        <v>53</v>
      </c>
      <c r="AW106" s="13">
        <f t="shared" si="104"/>
        <v>20286</v>
      </c>
      <c r="AY106" s="13">
        <f t="shared" si="105"/>
        <v>2</v>
      </c>
      <c r="AZ106" s="13">
        <f t="shared" si="106"/>
        <v>20286</v>
      </c>
      <c r="BA106" s="13"/>
      <c r="BB106" s="13"/>
      <c r="BC106" s="10">
        <f t="shared" si="107"/>
        <v>26</v>
      </c>
      <c r="BD106" s="10">
        <f t="shared" si="108"/>
        <v>26</v>
      </c>
      <c r="BE106" s="13">
        <f t="shared" si="109"/>
        <v>20286</v>
      </c>
      <c r="BG106" s="9">
        <f t="shared" si="110"/>
        <v>0</v>
      </c>
      <c r="BH106" s="13">
        <f t="shared" si="111"/>
        <v>20286</v>
      </c>
      <c r="BJ106" s="13">
        <f t="shared" si="112"/>
        <v>290</v>
      </c>
      <c r="BK106" s="13">
        <f t="shared" si="113"/>
        <v>20286</v>
      </c>
      <c r="BL106" s="13"/>
      <c r="BM106" s="13">
        <f t="shared" si="114"/>
        <v>31.484000000000002</v>
      </c>
      <c r="BN106" s="13">
        <f t="shared" si="115"/>
        <v>20286</v>
      </c>
      <c r="BO106" s="13"/>
      <c r="BP106" s="13"/>
      <c r="BQ106" s="10"/>
      <c r="BR106" s="10">
        <f t="shared" si="122"/>
        <v>-22.699999999999996</v>
      </c>
      <c r="BS106">
        <v>7800</v>
      </c>
      <c r="BT106" s="13"/>
      <c r="BV106" s="25">
        <f t="shared" si="84"/>
        <v>366.48188930304656</v>
      </c>
      <c r="BW106">
        <v>7800</v>
      </c>
      <c r="BX106" s="13"/>
      <c r="BZ106" s="10">
        <f t="shared" si="85"/>
        <v>-66.5</v>
      </c>
      <c r="CA106" s="13">
        <f t="shared" si="86"/>
        <v>53</v>
      </c>
      <c r="CB106" s="9">
        <f t="shared" si="87"/>
        <v>-92.5</v>
      </c>
      <c r="CC106" s="13">
        <f t="shared" si="88"/>
        <v>53</v>
      </c>
      <c r="CD106">
        <f t="shared" si="116"/>
        <v>20286</v>
      </c>
      <c r="CE106" s="13">
        <f t="shared" si="117"/>
        <v>53</v>
      </c>
      <c r="CF106" s="13"/>
      <c r="CV106" s="9">
        <f t="shared" si="123"/>
        <v>8.9345113584333335E-2</v>
      </c>
      <c r="CW106" s="9">
        <f t="shared" si="118"/>
        <v>0</v>
      </c>
      <c r="CX106" s="9"/>
      <c r="CY106" s="9">
        <f t="shared" si="119"/>
        <v>8.9345113584333335E-2</v>
      </c>
      <c r="CZ106" s="9">
        <f t="shared" si="120"/>
        <v>0</v>
      </c>
    </row>
    <row r="107" spans="1:104" x14ac:dyDescent="0.25">
      <c r="A107" s="8"/>
      <c r="B107" s="21" t="str">
        <f>'Eingabe Diagramme'!B100</f>
        <v xml:space="preserve">   51.0  20520  -66.1  -92.1      2   0.00    300     26  484.6  484.6  484.6</v>
      </c>
      <c r="C107" s="19"/>
      <c r="D107" s="19"/>
      <c r="E107" s="19"/>
      <c r="F107" s="19"/>
      <c r="G107" s="19"/>
      <c r="H107" s="19"/>
      <c r="I107" s="20"/>
      <c r="J107" s="19"/>
      <c r="K107" s="19"/>
      <c r="L107" s="11" t="str">
        <f t="shared" si="121"/>
        <v xml:space="preserve">   51.0</v>
      </c>
      <c r="M107" s="11" t="str">
        <f t="shared" si="69"/>
        <v>20520</v>
      </c>
      <c r="N107" s="11" t="str">
        <f t="shared" si="70"/>
        <v>-66.1</v>
      </c>
      <c r="O107" s="11" t="str">
        <f t="shared" si="71"/>
        <v>-92.1</v>
      </c>
      <c r="P107" s="11" t="str">
        <f t="shared" si="72"/>
        <v xml:space="preserve">  2</v>
      </c>
      <c r="Q107" s="11" t="str">
        <f t="shared" si="73"/>
        <v xml:space="preserve"> 0.00</v>
      </c>
      <c r="R107" s="11" t="str">
        <f t="shared" si="74"/>
        <v>300</v>
      </c>
      <c r="S107" s="11" t="str">
        <f t="shared" si="75"/>
        <v xml:space="preserve"> 26</v>
      </c>
      <c r="T107" s="11" t="str">
        <f t="shared" si="89"/>
        <v>484.6</v>
      </c>
      <c r="U107" s="11" t="str">
        <f t="shared" si="90"/>
        <v>484.6</v>
      </c>
      <c r="V107" s="11" t="str">
        <f t="shared" si="91"/>
        <v>484.6</v>
      </c>
      <c r="W107" s="11"/>
      <c r="Y107" s="13">
        <f t="shared" si="76"/>
        <v>51</v>
      </c>
      <c r="Z107" s="13">
        <f t="shared" si="77"/>
        <v>20520</v>
      </c>
      <c r="AA107" s="10">
        <f t="shared" si="78"/>
        <v>-66.099999999999994</v>
      </c>
      <c r="AB107" s="10">
        <f t="shared" si="79"/>
        <v>-92.1</v>
      </c>
      <c r="AC107" s="13">
        <f t="shared" si="80"/>
        <v>2</v>
      </c>
      <c r="AD107" s="9">
        <f t="shared" si="81"/>
        <v>0</v>
      </c>
      <c r="AE107" s="13">
        <f t="shared" si="82"/>
        <v>300</v>
      </c>
      <c r="AF107" s="13">
        <f t="shared" si="83"/>
        <v>26</v>
      </c>
      <c r="AG107" s="27">
        <f t="shared" si="92"/>
        <v>48.152000000000001</v>
      </c>
      <c r="AH107" s="29">
        <f t="shared" si="93"/>
        <v>484.6</v>
      </c>
      <c r="AI107" s="29">
        <f t="shared" si="94"/>
        <v>484.6</v>
      </c>
      <c r="AJ107" s="29">
        <f t="shared" si="95"/>
        <v>484.6</v>
      </c>
      <c r="AK107" s="27">
        <f t="shared" si="96"/>
        <v>211.45000000000005</v>
      </c>
      <c r="AL107" s="27">
        <f t="shared" si="97"/>
        <v>211.45000000000005</v>
      </c>
      <c r="AM107" s="27">
        <f t="shared" si="98"/>
        <v>211.45000000000005</v>
      </c>
      <c r="AP107" s="10">
        <f t="shared" si="99"/>
        <v>-92.1</v>
      </c>
      <c r="AQ107" s="13">
        <f t="shared" si="100"/>
        <v>20520</v>
      </c>
      <c r="AR107" s="10">
        <f t="shared" si="101"/>
        <v>-66.099999999999994</v>
      </c>
      <c r="AS107" s="13">
        <f t="shared" si="102"/>
        <v>20520</v>
      </c>
      <c r="AV107" s="13">
        <f t="shared" si="103"/>
        <v>51</v>
      </c>
      <c r="AW107" s="13">
        <f t="shared" si="104"/>
        <v>20520</v>
      </c>
      <c r="AY107" s="13">
        <f t="shared" si="105"/>
        <v>2</v>
      </c>
      <c r="AZ107" s="13">
        <f t="shared" si="106"/>
        <v>20520</v>
      </c>
      <c r="BA107" s="13"/>
      <c r="BB107" s="13"/>
      <c r="BC107" s="10">
        <f t="shared" si="107"/>
        <v>26</v>
      </c>
      <c r="BD107" s="10">
        <f t="shared" si="108"/>
        <v>26</v>
      </c>
      <c r="BE107" s="13">
        <f t="shared" si="109"/>
        <v>20520</v>
      </c>
      <c r="BG107" s="9">
        <f t="shared" si="110"/>
        <v>0</v>
      </c>
      <c r="BH107" s="13">
        <f t="shared" si="111"/>
        <v>20520</v>
      </c>
      <c r="BJ107" s="13">
        <f t="shared" si="112"/>
        <v>300</v>
      </c>
      <c r="BK107" s="13">
        <f t="shared" si="113"/>
        <v>20520</v>
      </c>
      <c r="BL107" s="13"/>
      <c r="BM107" s="13">
        <f t="shared" si="114"/>
        <v>48.152000000000001</v>
      </c>
      <c r="BN107" s="13">
        <f t="shared" si="115"/>
        <v>20520</v>
      </c>
      <c r="BO107" s="13"/>
      <c r="BP107" s="13"/>
      <c r="BQ107" s="10"/>
      <c r="BR107" s="10">
        <f t="shared" si="122"/>
        <v>-23.349999999999994</v>
      </c>
      <c r="BS107">
        <v>7900</v>
      </c>
      <c r="BT107" s="13"/>
      <c r="BV107" s="25">
        <f t="shared" si="84"/>
        <v>361.24061001535011</v>
      </c>
      <c r="BW107">
        <v>7900</v>
      </c>
      <c r="BX107" s="13"/>
      <c r="BZ107" s="10">
        <f t="shared" si="85"/>
        <v>-66.099999999999994</v>
      </c>
      <c r="CA107" s="13">
        <f t="shared" si="86"/>
        <v>51</v>
      </c>
      <c r="CB107" s="9">
        <f t="shared" si="87"/>
        <v>-92.1</v>
      </c>
      <c r="CC107" s="13">
        <f t="shared" si="88"/>
        <v>51</v>
      </c>
      <c r="CD107">
        <f t="shared" si="116"/>
        <v>20520</v>
      </c>
      <c r="CE107" s="13">
        <f t="shared" si="117"/>
        <v>51</v>
      </c>
      <c r="CF107" s="13"/>
      <c r="CV107" s="9">
        <f t="shared" si="123"/>
        <v>8.5807507422992965E-2</v>
      </c>
      <c r="CW107" s="9">
        <f t="shared" si="118"/>
        <v>0</v>
      </c>
      <c r="CX107" s="9"/>
      <c r="CY107" s="9">
        <f t="shared" si="119"/>
        <v>8.5807507422992965E-2</v>
      </c>
      <c r="CZ107" s="9">
        <f t="shared" si="120"/>
        <v>0</v>
      </c>
    </row>
    <row r="108" spans="1:104" x14ac:dyDescent="0.25">
      <c r="A108" s="8"/>
      <c r="B108" s="21" t="str">
        <f>'Eingabe Diagramme'!B101</f>
        <v xml:space="preserve">   50.0  20640  -65.9  -91.9      2   0.00    300     25  487.8  487.8  487.8</v>
      </c>
      <c r="C108" s="19"/>
      <c r="D108" s="19"/>
      <c r="E108" s="19"/>
      <c r="F108" s="19"/>
      <c r="G108" s="19"/>
      <c r="H108" s="19"/>
      <c r="I108" s="20"/>
      <c r="J108" s="19"/>
      <c r="K108" s="19"/>
      <c r="L108" s="11" t="str">
        <f t="shared" si="121"/>
        <v xml:space="preserve">   50.0</v>
      </c>
      <c r="M108" s="11" t="str">
        <f t="shared" si="69"/>
        <v>20640</v>
      </c>
      <c r="N108" s="11" t="str">
        <f t="shared" si="70"/>
        <v>-65.9</v>
      </c>
      <c r="O108" s="11" t="str">
        <f t="shared" si="71"/>
        <v>-91.9</v>
      </c>
      <c r="P108" s="11" t="str">
        <f t="shared" si="72"/>
        <v xml:space="preserve">  2</v>
      </c>
      <c r="Q108" s="11" t="str">
        <f t="shared" si="73"/>
        <v xml:space="preserve"> 0.00</v>
      </c>
      <c r="R108" s="11" t="str">
        <f t="shared" si="74"/>
        <v>300</v>
      </c>
      <c r="S108" s="11" t="str">
        <f t="shared" si="75"/>
        <v xml:space="preserve"> 25</v>
      </c>
      <c r="T108" s="11" t="str">
        <f t="shared" si="89"/>
        <v>487.8</v>
      </c>
      <c r="U108" s="11" t="str">
        <f t="shared" si="90"/>
        <v>487.8</v>
      </c>
      <c r="V108" s="11" t="str">
        <f t="shared" si="91"/>
        <v>487.8</v>
      </c>
      <c r="W108" s="11"/>
      <c r="Y108" s="13">
        <f t="shared" si="76"/>
        <v>50</v>
      </c>
      <c r="Z108" s="13">
        <f t="shared" si="77"/>
        <v>20640</v>
      </c>
      <c r="AA108" s="10">
        <f t="shared" si="78"/>
        <v>-65.900000000000006</v>
      </c>
      <c r="AB108" s="10">
        <f t="shared" si="79"/>
        <v>-91.9</v>
      </c>
      <c r="AC108" s="13">
        <f t="shared" si="80"/>
        <v>2</v>
      </c>
      <c r="AD108" s="9">
        <f t="shared" si="81"/>
        <v>0</v>
      </c>
      <c r="AE108" s="13">
        <f t="shared" si="82"/>
        <v>300</v>
      </c>
      <c r="AF108" s="13">
        <f t="shared" si="83"/>
        <v>25</v>
      </c>
      <c r="AG108" s="27">
        <f t="shared" si="92"/>
        <v>46.300000000000004</v>
      </c>
      <c r="AH108" s="29">
        <f t="shared" si="93"/>
        <v>487.8</v>
      </c>
      <c r="AI108" s="29">
        <f t="shared" si="94"/>
        <v>487.8</v>
      </c>
      <c r="AJ108" s="29">
        <f t="shared" si="95"/>
        <v>487.8</v>
      </c>
      <c r="AK108" s="27">
        <f t="shared" si="96"/>
        <v>214.65000000000003</v>
      </c>
      <c r="AL108" s="27">
        <f t="shared" si="97"/>
        <v>214.65000000000003</v>
      </c>
      <c r="AM108" s="27">
        <f t="shared" si="98"/>
        <v>214.65000000000003</v>
      </c>
      <c r="AP108" s="10">
        <f t="shared" si="99"/>
        <v>-91.9</v>
      </c>
      <c r="AQ108" s="13">
        <f t="shared" si="100"/>
        <v>20640</v>
      </c>
      <c r="AR108" s="10">
        <f t="shared" si="101"/>
        <v>-65.900000000000006</v>
      </c>
      <c r="AS108" s="13">
        <f t="shared" si="102"/>
        <v>20640</v>
      </c>
      <c r="AV108" s="13">
        <f t="shared" si="103"/>
        <v>50</v>
      </c>
      <c r="AW108" s="13">
        <f t="shared" si="104"/>
        <v>20640</v>
      </c>
      <c r="AY108" s="13">
        <f t="shared" si="105"/>
        <v>2</v>
      </c>
      <c r="AZ108" s="13">
        <f t="shared" si="106"/>
        <v>20640</v>
      </c>
      <c r="BA108" s="13"/>
      <c r="BB108" s="13"/>
      <c r="BC108" s="10">
        <f t="shared" si="107"/>
        <v>26</v>
      </c>
      <c r="BD108" s="10">
        <f t="shared" si="108"/>
        <v>26</v>
      </c>
      <c r="BE108" s="13">
        <f t="shared" si="109"/>
        <v>20640</v>
      </c>
      <c r="BG108" s="9">
        <f t="shared" si="110"/>
        <v>0</v>
      </c>
      <c r="BH108" s="13">
        <f t="shared" si="111"/>
        <v>20640</v>
      </c>
      <c r="BJ108" s="13">
        <f t="shared" si="112"/>
        <v>300</v>
      </c>
      <c r="BK108" s="13">
        <f t="shared" si="113"/>
        <v>20640</v>
      </c>
      <c r="BL108" s="13"/>
      <c r="BM108" s="13">
        <f t="shared" si="114"/>
        <v>46.300000000000004</v>
      </c>
      <c r="BN108" s="13">
        <f t="shared" si="115"/>
        <v>20640</v>
      </c>
      <c r="BO108" s="13"/>
      <c r="BP108" s="13"/>
      <c r="BQ108" s="10"/>
      <c r="BR108" s="10">
        <f t="shared" si="122"/>
        <v>-24</v>
      </c>
      <c r="BS108">
        <v>8000</v>
      </c>
      <c r="BT108" s="13"/>
      <c r="BV108" s="25">
        <f t="shared" si="84"/>
        <v>356.0601910391004</v>
      </c>
      <c r="BW108">
        <v>8000</v>
      </c>
      <c r="BX108" s="13"/>
      <c r="BZ108" s="10">
        <f t="shared" si="85"/>
        <v>-65.900000000000006</v>
      </c>
      <c r="CA108" s="13">
        <f t="shared" si="86"/>
        <v>50</v>
      </c>
      <c r="CB108" s="9">
        <f t="shared" si="87"/>
        <v>-91.9</v>
      </c>
      <c r="CC108" s="13">
        <f t="shared" si="88"/>
        <v>50</v>
      </c>
      <c r="CD108">
        <f t="shared" si="116"/>
        <v>20640</v>
      </c>
      <c r="CE108" s="13">
        <f t="shared" si="117"/>
        <v>50</v>
      </c>
      <c r="CF108" s="13"/>
      <c r="CV108" s="9">
        <f t="shared" si="123"/>
        <v>8.404382512325595E-2</v>
      </c>
      <c r="CW108" s="9">
        <f t="shared" si="118"/>
        <v>0</v>
      </c>
      <c r="CX108" s="9"/>
      <c r="CY108" s="9">
        <f t="shared" si="119"/>
        <v>8.404382512325595E-2</v>
      </c>
      <c r="CZ108" s="9">
        <f t="shared" si="120"/>
        <v>0</v>
      </c>
    </row>
    <row r="109" spans="1:104" x14ac:dyDescent="0.25">
      <c r="A109" s="8"/>
      <c r="B109" s="21" t="str">
        <f>'Eingabe Diagramme'!B102</f>
        <v xml:space="preserve">   47.0  21016  -64.8  -92.0      1   0.00    295     24  499.1  499.1  499.1</v>
      </c>
      <c r="C109" s="19"/>
      <c r="D109" s="19"/>
      <c r="E109" s="19"/>
      <c r="F109" s="19"/>
      <c r="G109" s="19"/>
      <c r="H109" s="19"/>
      <c r="I109" s="20"/>
      <c r="J109" s="19"/>
      <c r="K109" s="19"/>
      <c r="L109" s="11" t="str">
        <f t="shared" si="121"/>
        <v xml:space="preserve">   47.0</v>
      </c>
      <c r="M109" s="11" t="str">
        <f t="shared" si="69"/>
        <v>21016</v>
      </c>
      <c r="N109" s="11" t="str">
        <f t="shared" si="70"/>
        <v>-64.8</v>
      </c>
      <c r="O109" s="11" t="str">
        <f t="shared" si="71"/>
        <v>-92.0</v>
      </c>
      <c r="P109" s="11" t="str">
        <f t="shared" si="72"/>
        <v xml:space="preserve">  1</v>
      </c>
      <c r="Q109" s="11" t="str">
        <f t="shared" si="73"/>
        <v xml:space="preserve"> 0.00</v>
      </c>
      <c r="R109" s="11" t="str">
        <f t="shared" si="74"/>
        <v>295</v>
      </c>
      <c r="S109" s="11" t="str">
        <f t="shared" si="75"/>
        <v xml:space="preserve"> 24</v>
      </c>
      <c r="T109" s="11" t="str">
        <f t="shared" si="89"/>
        <v>499.1</v>
      </c>
      <c r="U109" s="11" t="str">
        <f t="shared" si="90"/>
        <v>499.1</v>
      </c>
      <c r="V109" s="11" t="str">
        <f t="shared" si="91"/>
        <v>499.1</v>
      </c>
      <c r="W109" s="11"/>
      <c r="Y109" s="13">
        <f t="shared" si="76"/>
        <v>47</v>
      </c>
      <c r="Z109" s="13">
        <f t="shared" si="77"/>
        <v>21016</v>
      </c>
      <c r="AA109" s="10">
        <f t="shared" si="78"/>
        <v>-64.8</v>
      </c>
      <c r="AB109" s="10">
        <f t="shared" si="79"/>
        <v>-92</v>
      </c>
      <c r="AC109" s="13">
        <f t="shared" si="80"/>
        <v>1</v>
      </c>
      <c r="AD109" s="9">
        <f t="shared" si="81"/>
        <v>0</v>
      </c>
      <c r="AE109" s="13">
        <f t="shared" si="82"/>
        <v>295</v>
      </c>
      <c r="AF109" s="13">
        <f t="shared" si="83"/>
        <v>24</v>
      </c>
      <c r="AG109" s="27">
        <f t="shared" si="92"/>
        <v>44.448</v>
      </c>
      <c r="AH109" s="29">
        <f t="shared" si="93"/>
        <v>499.1</v>
      </c>
      <c r="AI109" s="29">
        <f t="shared" si="94"/>
        <v>499.1</v>
      </c>
      <c r="AJ109" s="29">
        <f t="shared" si="95"/>
        <v>499.1</v>
      </c>
      <c r="AK109" s="27">
        <f t="shared" si="96"/>
        <v>225.95000000000005</v>
      </c>
      <c r="AL109" s="27">
        <f t="shared" si="97"/>
        <v>225.95000000000005</v>
      </c>
      <c r="AM109" s="27">
        <f t="shared" si="98"/>
        <v>225.95000000000005</v>
      </c>
      <c r="AP109" s="10">
        <f t="shared" si="99"/>
        <v>-92</v>
      </c>
      <c r="AQ109" s="13">
        <f t="shared" si="100"/>
        <v>21016</v>
      </c>
      <c r="AR109" s="10">
        <f t="shared" si="101"/>
        <v>-64.8</v>
      </c>
      <c r="AS109" s="13">
        <f t="shared" si="102"/>
        <v>21016</v>
      </c>
      <c r="AV109" s="13">
        <f t="shared" si="103"/>
        <v>47</v>
      </c>
      <c r="AW109" s="13">
        <f t="shared" si="104"/>
        <v>21016</v>
      </c>
      <c r="AY109" s="13">
        <f t="shared" si="105"/>
        <v>1</v>
      </c>
      <c r="AZ109" s="13">
        <f t="shared" si="106"/>
        <v>21016</v>
      </c>
      <c r="BA109" s="13"/>
      <c r="BB109" s="13"/>
      <c r="BC109" s="10">
        <f t="shared" si="107"/>
        <v>27.200000000000003</v>
      </c>
      <c r="BD109" s="10">
        <f t="shared" si="108"/>
        <v>27.200000000000003</v>
      </c>
      <c r="BE109" s="13">
        <f t="shared" si="109"/>
        <v>21016</v>
      </c>
      <c r="BG109" s="9">
        <f t="shared" si="110"/>
        <v>0</v>
      </c>
      <c r="BH109" s="13">
        <f t="shared" si="111"/>
        <v>21016</v>
      </c>
      <c r="BJ109" s="13">
        <f t="shared" si="112"/>
        <v>295</v>
      </c>
      <c r="BK109" s="13">
        <f t="shared" si="113"/>
        <v>21016</v>
      </c>
      <c r="BL109" s="13"/>
      <c r="BM109" s="13">
        <f t="shared" si="114"/>
        <v>44.448</v>
      </c>
      <c r="BN109" s="13">
        <f t="shared" si="115"/>
        <v>21016</v>
      </c>
      <c r="BO109" s="13"/>
      <c r="BP109" s="13"/>
      <c r="BQ109" s="10"/>
      <c r="BR109" s="10">
        <f t="shared" si="122"/>
        <v>-24.65</v>
      </c>
      <c r="BS109">
        <v>8100</v>
      </c>
      <c r="BT109" s="13"/>
      <c r="BV109" s="25">
        <f t="shared" si="84"/>
        <v>350.94009028484771</v>
      </c>
      <c r="BW109">
        <v>8100</v>
      </c>
      <c r="BX109" s="13"/>
      <c r="BZ109" s="10">
        <f t="shared" si="85"/>
        <v>-64.8</v>
      </c>
      <c r="CA109" s="13">
        <f t="shared" si="86"/>
        <v>47</v>
      </c>
      <c r="CB109" s="9">
        <f t="shared" si="87"/>
        <v>-92</v>
      </c>
      <c r="CC109" s="13">
        <f t="shared" si="88"/>
        <v>47</v>
      </c>
      <c r="CD109">
        <f t="shared" si="116"/>
        <v>21016</v>
      </c>
      <c r="CE109" s="13">
        <f t="shared" si="117"/>
        <v>47</v>
      </c>
      <c r="CF109" s="13"/>
      <c r="CV109" s="9">
        <f t="shared" si="123"/>
        <v>7.8584102670444481E-2</v>
      </c>
      <c r="CW109" s="9">
        <f t="shared" si="118"/>
        <v>0</v>
      </c>
      <c r="CX109" s="9"/>
      <c r="CY109" s="9">
        <f t="shared" si="119"/>
        <v>7.8584102670444481E-2</v>
      </c>
      <c r="CZ109" s="9">
        <f t="shared" si="120"/>
        <v>0</v>
      </c>
    </row>
    <row r="110" spans="1:104" x14ac:dyDescent="0.25">
      <c r="A110" s="8"/>
      <c r="B110" s="21" t="str">
        <f>'Eingabe Diagramme'!B103</f>
        <v xml:space="preserve">   44.0  21417  -63.7  -92.1      1   0.00    265     33  511.4  511.4  511.4</v>
      </c>
      <c r="C110" s="19"/>
      <c r="D110" s="19"/>
      <c r="E110" s="19"/>
      <c r="F110" s="19"/>
      <c r="G110" s="19"/>
      <c r="H110" s="19"/>
      <c r="I110" s="20"/>
      <c r="J110" s="19"/>
      <c r="K110" s="19"/>
      <c r="L110" s="11" t="str">
        <f t="shared" si="121"/>
        <v xml:space="preserve">   44.0</v>
      </c>
      <c r="M110" s="11" t="str">
        <f t="shared" si="69"/>
        <v>21417</v>
      </c>
      <c r="N110" s="11" t="str">
        <f t="shared" si="70"/>
        <v>-63.7</v>
      </c>
      <c r="O110" s="11" t="str">
        <f t="shared" si="71"/>
        <v>-92.1</v>
      </c>
      <c r="P110" s="11" t="str">
        <f t="shared" si="72"/>
        <v xml:space="preserve">  1</v>
      </c>
      <c r="Q110" s="11" t="str">
        <f t="shared" si="73"/>
        <v xml:space="preserve"> 0.00</v>
      </c>
      <c r="R110" s="11" t="str">
        <f t="shared" si="74"/>
        <v>265</v>
      </c>
      <c r="S110" s="11" t="str">
        <f t="shared" si="75"/>
        <v xml:space="preserve"> 33</v>
      </c>
      <c r="T110" s="11" t="str">
        <f t="shared" si="89"/>
        <v>511.4</v>
      </c>
      <c r="U110" s="11" t="str">
        <f t="shared" si="90"/>
        <v>511.4</v>
      </c>
      <c r="V110" s="11" t="str">
        <f t="shared" si="91"/>
        <v>511.4</v>
      </c>
      <c r="W110" s="11"/>
      <c r="Y110" s="13">
        <f t="shared" si="76"/>
        <v>44</v>
      </c>
      <c r="Z110" s="13">
        <f t="shared" si="77"/>
        <v>21417</v>
      </c>
      <c r="AA110" s="10">
        <f t="shared" si="78"/>
        <v>-63.7</v>
      </c>
      <c r="AB110" s="10">
        <f t="shared" si="79"/>
        <v>-92.1</v>
      </c>
      <c r="AC110" s="13">
        <f t="shared" si="80"/>
        <v>1</v>
      </c>
      <c r="AD110" s="9">
        <f t="shared" si="81"/>
        <v>0</v>
      </c>
      <c r="AE110" s="13">
        <f t="shared" si="82"/>
        <v>265</v>
      </c>
      <c r="AF110" s="13">
        <f t="shared" si="83"/>
        <v>33</v>
      </c>
      <c r="AG110" s="27">
        <f t="shared" si="92"/>
        <v>61.116</v>
      </c>
      <c r="AH110" s="29">
        <f t="shared" si="93"/>
        <v>511.4</v>
      </c>
      <c r="AI110" s="29">
        <f t="shared" si="94"/>
        <v>511.4</v>
      </c>
      <c r="AJ110" s="29">
        <f t="shared" si="95"/>
        <v>511.4</v>
      </c>
      <c r="AK110" s="27">
        <f t="shared" si="96"/>
        <v>238.25</v>
      </c>
      <c r="AL110" s="27">
        <f t="shared" si="97"/>
        <v>238.25</v>
      </c>
      <c r="AM110" s="27">
        <f t="shared" si="98"/>
        <v>238.25</v>
      </c>
      <c r="AP110" s="10">
        <f t="shared" si="99"/>
        <v>-92.1</v>
      </c>
      <c r="AQ110" s="13">
        <f t="shared" si="100"/>
        <v>21417</v>
      </c>
      <c r="AR110" s="10">
        <f t="shared" si="101"/>
        <v>-63.7</v>
      </c>
      <c r="AS110" s="13">
        <f t="shared" si="102"/>
        <v>21417</v>
      </c>
      <c r="AV110" s="13">
        <f t="shared" si="103"/>
        <v>44</v>
      </c>
      <c r="AW110" s="13">
        <f t="shared" si="104"/>
        <v>21417</v>
      </c>
      <c r="AY110" s="13">
        <f t="shared" si="105"/>
        <v>1</v>
      </c>
      <c r="AZ110" s="13">
        <f t="shared" si="106"/>
        <v>21417</v>
      </c>
      <c r="BA110" s="13"/>
      <c r="BB110" s="13"/>
      <c r="BC110" s="10">
        <f t="shared" si="107"/>
        <v>28.399999999999991</v>
      </c>
      <c r="BD110" s="10">
        <f t="shared" si="108"/>
        <v>28.399999999999991</v>
      </c>
      <c r="BE110" s="13">
        <f t="shared" si="109"/>
        <v>21417</v>
      </c>
      <c r="BG110" s="9">
        <f t="shared" si="110"/>
        <v>0</v>
      </c>
      <c r="BH110" s="13">
        <f t="shared" si="111"/>
        <v>21417</v>
      </c>
      <c r="BJ110" s="13">
        <f t="shared" si="112"/>
        <v>265</v>
      </c>
      <c r="BK110" s="13">
        <f t="shared" si="113"/>
        <v>21417</v>
      </c>
      <c r="BL110" s="13"/>
      <c r="BM110" s="13">
        <f t="shared" si="114"/>
        <v>61.116</v>
      </c>
      <c r="BN110" s="13">
        <f t="shared" si="115"/>
        <v>21417</v>
      </c>
      <c r="BO110" s="13"/>
      <c r="BP110" s="13"/>
      <c r="BQ110" s="10"/>
      <c r="BR110" s="10">
        <f t="shared" si="122"/>
        <v>-25.299999999999997</v>
      </c>
      <c r="BS110">
        <v>8200</v>
      </c>
      <c r="BT110" s="13"/>
      <c r="BV110" s="25">
        <f t="shared" si="84"/>
        <v>345.87976901738926</v>
      </c>
      <c r="BW110">
        <v>8200</v>
      </c>
      <c r="BX110" s="13"/>
      <c r="BZ110" s="10">
        <f t="shared" si="85"/>
        <v>-63.7</v>
      </c>
      <c r="CA110" s="13">
        <f t="shared" si="86"/>
        <v>44</v>
      </c>
      <c r="CB110" s="9">
        <f t="shared" si="87"/>
        <v>-92.1</v>
      </c>
      <c r="CC110" s="13">
        <f t="shared" si="88"/>
        <v>44</v>
      </c>
      <c r="CD110">
        <f t="shared" si="116"/>
        <v>21417</v>
      </c>
      <c r="CE110" s="13">
        <f t="shared" si="117"/>
        <v>44</v>
      </c>
      <c r="CF110" s="13"/>
      <c r="CV110" s="9">
        <f t="shared" si="123"/>
        <v>7.318172750527295E-2</v>
      </c>
      <c r="CW110" s="9">
        <f t="shared" si="118"/>
        <v>0</v>
      </c>
      <c r="CX110" s="9"/>
      <c r="CY110" s="9">
        <f t="shared" si="119"/>
        <v>7.318172750527295E-2</v>
      </c>
      <c r="CZ110" s="9">
        <f t="shared" si="120"/>
        <v>0</v>
      </c>
    </row>
    <row r="111" spans="1:104" x14ac:dyDescent="0.25">
      <c r="A111" s="8"/>
      <c r="B111" s="21" t="str">
        <f>'Eingabe Diagramme'!B104</f>
        <v xml:space="preserve">   42.6  21613  -63.1  -92.1      1   0.00    270     34  517.5  517.5  517.5</v>
      </c>
      <c r="C111" s="19"/>
      <c r="D111" s="19"/>
      <c r="E111" s="19"/>
      <c r="F111" s="19"/>
      <c r="G111" s="19"/>
      <c r="H111" s="19"/>
      <c r="I111" s="20"/>
      <c r="J111" s="19"/>
      <c r="K111" s="19"/>
      <c r="L111" s="11" t="str">
        <f t="shared" si="121"/>
        <v xml:space="preserve">   42.6</v>
      </c>
      <c r="M111" s="11" t="str">
        <f t="shared" si="69"/>
        <v>21613</v>
      </c>
      <c r="N111" s="11" t="str">
        <f t="shared" si="70"/>
        <v>-63.1</v>
      </c>
      <c r="O111" s="11" t="str">
        <f t="shared" si="71"/>
        <v>-92.1</v>
      </c>
      <c r="P111" s="11" t="str">
        <f t="shared" si="72"/>
        <v xml:space="preserve">  1</v>
      </c>
      <c r="Q111" s="11" t="str">
        <f t="shared" si="73"/>
        <v xml:space="preserve"> 0.00</v>
      </c>
      <c r="R111" s="11" t="str">
        <f t="shared" si="74"/>
        <v>270</v>
      </c>
      <c r="S111" s="11" t="str">
        <f t="shared" si="75"/>
        <v xml:space="preserve"> 34</v>
      </c>
      <c r="T111" s="11" t="str">
        <f t="shared" si="89"/>
        <v>517.5</v>
      </c>
      <c r="U111" s="11" t="str">
        <f t="shared" si="90"/>
        <v>517.5</v>
      </c>
      <c r="V111" s="11" t="str">
        <f t="shared" si="91"/>
        <v>517.5</v>
      </c>
      <c r="W111" s="11"/>
      <c r="Y111" s="13">
        <f t="shared" si="76"/>
        <v>42.6</v>
      </c>
      <c r="Z111" s="13">
        <f t="shared" si="77"/>
        <v>21613</v>
      </c>
      <c r="AA111" s="10">
        <f t="shared" si="78"/>
        <v>-63.1</v>
      </c>
      <c r="AB111" s="10">
        <f t="shared" si="79"/>
        <v>-92.1</v>
      </c>
      <c r="AC111" s="13">
        <f t="shared" si="80"/>
        <v>1</v>
      </c>
      <c r="AD111" s="9">
        <f t="shared" si="81"/>
        <v>0</v>
      </c>
      <c r="AE111" s="13">
        <f t="shared" si="82"/>
        <v>270</v>
      </c>
      <c r="AF111" s="13">
        <f t="shared" si="83"/>
        <v>34</v>
      </c>
      <c r="AG111" s="27">
        <f t="shared" si="92"/>
        <v>62.968000000000004</v>
      </c>
      <c r="AH111" s="29">
        <f t="shared" si="93"/>
        <v>517.5</v>
      </c>
      <c r="AI111" s="29">
        <f t="shared" si="94"/>
        <v>517.5</v>
      </c>
      <c r="AJ111" s="29">
        <f t="shared" si="95"/>
        <v>517.5</v>
      </c>
      <c r="AK111" s="27">
        <f t="shared" si="96"/>
        <v>244.35000000000002</v>
      </c>
      <c r="AL111" s="27">
        <f t="shared" si="97"/>
        <v>244.35000000000002</v>
      </c>
      <c r="AM111" s="27">
        <f t="shared" si="98"/>
        <v>244.35000000000002</v>
      </c>
      <c r="AP111" s="10">
        <f t="shared" si="99"/>
        <v>-92.1</v>
      </c>
      <c r="AQ111" s="13">
        <f t="shared" si="100"/>
        <v>21613</v>
      </c>
      <c r="AR111" s="10">
        <f t="shared" si="101"/>
        <v>-63.1</v>
      </c>
      <c r="AS111" s="13">
        <f t="shared" si="102"/>
        <v>21613</v>
      </c>
      <c r="AV111" s="13">
        <f t="shared" si="103"/>
        <v>42.6</v>
      </c>
      <c r="AW111" s="13">
        <f t="shared" si="104"/>
        <v>21613</v>
      </c>
      <c r="AY111" s="13">
        <f t="shared" si="105"/>
        <v>1</v>
      </c>
      <c r="AZ111" s="13">
        <f t="shared" si="106"/>
        <v>21613</v>
      </c>
      <c r="BA111" s="13"/>
      <c r="BB111" s="13"/>
      <c r="BC111" s="10">
        <f t="shared" si="107"/>
        <v>28.999999999999993</v>
      </c>
      <c r="BD111" s="10">
        <f t="shared" si="108"/>
        <v>28.999999999999993</v>
      </c>
      <c r="BE111" s="13">
        <f t="shared" si="109"/>
        <v>21613</v>
      </c>
      <c r="BG111" s="9">
        <f t="shared" si="110"/>
        <v>0</v>
      </c>
      <c r="BH111" s="13">
        <f t="shared" si="111"/>
        <v>21613</v>
      </c>
      <c r="BJ111" s="13">
        <f t="shared" si="112"/>
        <v>270</v>
      </c>
      <c r="BK111" s="13">
        <f t="shared" si="113"/>
        <v>21613</v>
      </c>
      <c r="BL111" s="13"/>
      <c r="BM111" s="13">
        <f t="shared" si="114"/>
        <v>62.968000000000004</v>
      </c>
      <c r="BN111" s="13">
        <f t="shared" si="115"/>
        <v>21613</v>
      </c>
      <c r="BO111" s="13"/>
      <c r="BP111" s="13"/>
      <c r="BQ111" s="10"/>
      <c r="BR111" s="10">
        <f t="shared" si="122"/>
        <v>-25.949999999999996</v>
      </c>
      <c r="BS111">
        <v>8300</v>
      </c>
      <c r="BT111" s="13"/>
      <c r="BV111" s="25">
        <f t="shared" si="84"/>
        <v>340.87869184418651</v>
      </c>
      <c r="BW111">
        <v>8300</v>
      </c>
      <c r="BX111" s="13"/>
      <c r="BZ111" s="10">
        <f t="shared" si="85"/>
        <v>-63.1</v>
      </c>
      <c r="CA111" s="13">
        <f t="shared" si="86"/>
        <v>42.6</v>
      </c>
      <c r="CB111" s="9">
        <f t="shared" si="87"/>
        <v>-92.1</v>
      </c>
      <c r="CC111" s="13">
        <f t="shared" si="88"/>
        <v>42.6</v>
      </c>
      <c r="CD111">
        <f t="shared" si="116"/>
        <v>21613</v>
      </c>
      <c r="CE111" s="13">
        <f t="shared" si="117"/>
        <v>42.6</v>
      </c>
      <c r="CF111" s="13"/>
      <c r="CV111" s="9">
        <f t="shared" si="123"/>
        <v>7.0650828416039826E-2</v>
      </c>
      <c r="CW111" s="9">
        <f t="shared" si="118"/>
        <v>0</v>
      </c>
      <c r="CX111" s="9"/>
      <c r="CY111" s="9">
        <f t="shared" si="119"/>
        <v>7.0650828416039826E-2</v>
      </c>
      <c r="CZ111" s="9">
        <f t="shared" si="120"/>
        <v>0</v>
      </c>
    </row>
    <row r="112" spans="1:104" x14ac:dyDescent="0.25">
      <c r="A112" s="8"/>
      <c r="B112" s="21" t="str">
        <f>'Eingabe Diagramme'!B105</f>
        <v xml:space="preserve">   37.0  22468  -64.6  -92.7      1   0.00    290     40  534.9  534.9  534.9</v>
      </c>
      <c r="C112" s="19"/>
      <c r="D112" s="19"/>
      <c r="E112" s="19"/>
      <c r="F112" s="19"/>
      <c r="G112" s="19"/>
      <c r="H112" s="19"/>
      <c r="I112" s="20"/>
      <c r="J112" s="19"/>
      <c r="K112" s="19"/>
      <c r="L112" s="11" t="str">
        <f t="shared" si="121"/>
        <v xml:space="preserve">   37.0</v>
      </c>
      <c r="M112" s="11" t="str">
        <f t="shared" si="69"/>
        <v>22468</v>
      </c>
      <c r="N112" s="11" t="str">
        <f t="shared" si="70"/>
        <v>-64.6</v>
      </c>
      <c r="O112" s="11" t="str">
        <f t="shared" si="71"/>
        <v>-92.7</v>
      </c>
      <c r="P112" s="11" t="str">
        <f t="shared" si="72"/>
        <v xml:space="preserve">  1</v>
      </c>
      <c r="Q112" s="11" t="str">
        <f t="shared" si="73"/>
        <v xml:space="preserve"> 0.00</v>
      </c>
      <c r="R112" s="11" t="str">
        <f t="shared" si="74"/>
        <v>290</v>
      </c>
      <c r="S112" s="11" t="str">
        <f t="shared" si="75"/>
        <v xml:space="preserve"> 40</v>
      </c>
      <c r="T112" s="11" t="str">
        <f t="shared" si="89"/>
        <v>534.9</v>
      </c>
      <c r="U112" s="11" t="str">
        <f t="shared" si="90"/>
        <v>534.9</v>
      </c>
      <c r="V112" s="11" t="str">
        <f t="shared" si="91"/>
        <v>534.9</v>
      </c>
      <c r="W112" s="11"/>
      <c r="Y112" s="13">
        <f t="shared" si="76"/>
        <v>37</v>
      </c>
      <c r="Z112" s="13">
        <f t="shared" si="77"/>
        <v>22468</v>
      </c>
      <c r="AA112" s="10">
        <f t="shared" si="78"/>
        <v>-64.599999999999994</v>
      </c>
      <c r="AB112" s="10">
        <f t="shared" si="79"/>
        <v>-92.7</v>
      </c>
      <c r="AC112" s="13">
        <f t="shared" si="80"/>
        <v>1</v>
      </c>
      <c r="AD112" s="9">
        <f t="shared" si="81"/>
        <v>0</v>
      </c>
      <c r="AE112" s="13">
        <f t="shared" si="82"/>
        <v>290</v>
      </c>
      <c r="AF112" s="13">
        <f t="shared" si="83"/>
        <v>40</v>
      </c>
      <c r="AG112" s="27">
        <f t="shared" si="92"/>
        <v>74.08</v>
      </c>
      <c r="AH112" s="29">
        <f t="shared" si="93"/>
        <v>534.9</v>
      </c>
      <c r="AI112" s="29">
        <f t="shared" si="94"/>
        <v>534.9</v>
      </c>
      <c r="AJ112" s="29">
        <f t="shared" si="95"/>
        <v>534.9</v>
      </c>
      <c r="AK112" s="27">
        <f t="shared" si="96"/>
        <v>261.75</v>
      </c>
      <c r="AL112" s="27">
        <f t="shared" si="97"/>
        <v>261.75</v>
      </c>
      <c r="AM112" s="27">
        <f t="shared" si="98"/>
        <v>261.75</v>
      </c>
      <c r="AP112" s="10">
        <f t="shared" si="99"/>
        <v>-92.7</v>
      </c>
      <c r="AQ112" s="13">
        <f t="shared" si="100"/>
        <v>22468</v>
      </c>
      <c r="AR112" s="10">
        <f t="shared" si="101"/>
        <v>-64.599999999999994</v>
      </c>
      <c r="AS112" s="13">
        <f t="shared" si="102"/>
        <v>22468</v>
      </c>
      <c r="AV112" s="13">
        <f t="shared" si="103"/>
        <v>37</v>
      </c>
      <c r="AW112" s="13">
        <f t="shared" si="104"/>
        <v>22468</v>
      </c>
      <c r="AY112" s="13">
        <f t="shared" si="105"/>
        <v>1</v>
      </c>
      <c r="AZ112" s="13">
        <f t="shared" si="106"/>
        <v>22468</v>
      </c>
      <c r="BA112" s="13"/>
      <c r="BB112" s="13"/>
      <c r="BC112" s="10">
        <f t="shared" si="107"/>
        <v>28.100000000000009</v>
      </c>
      <c r="BD112" s="10">
        <f t="shared" si="108"/>
        <v>28.100000000000009</v>
      </c>
      <c r="BE112" s="13">
        <f t="shared" si="109"/>
        <v>22468</v>
      </c>
      <c r="BG112" s="9">
        <f t="shared" si="110"/>
        <v>0</v>
      </c>
      <c r="BH112" s="13">
        <f t="shared" si="111"/>
        <v>22468</v>
      </c>
      <c r="BJ112" s="13">
        <f t="shared" si="112"/>
        <v>290</v>
      </c>
      <c r="BK112" s="13">
        <f t="shared" si="113"/>
        <v>22468</v>
      </c>
      <c r="BL112" s="13"/>
      <c r="BM112" s="13">
        <f t="shared" si="114"/>
        <v>74.08</v>
      </c>
      <c r="BN112" s="13">
        <f t="shared" si="115"/>
        <v>22468</v>
      </c>
      <c r="BO112" s="13"/>
      <c r="BP112" s="13"/>
      <c r="BQ112" s="10"/>
      <c r="BR112" s="10">
        <f t="shared" si="122"/>
        <v>-26.599999999999994</v>
      </c>
      <c r="BS112">
        <v>8400</v>
      </c>
      <c r="BT112" s="13"/>
      <c r="BV112" s="25">
        <f t="shared" si="84"/>
        <v>335.936326703791</v>
      </c>
      <c r="BW112">
        <v>8400</v>
      </c>
      <c r="BX112" s="13"/>
      <c r="BZ112" s="10">
        <f t="shared" si="85"/>
        <v>-64.599999999999994</v>
      </c>
      <c r="CA112" s="13">
        <f t="shared" si="86"/>
        <v>37</v>
      </c>
      <c r="CB112" s="9">
        <f t="shared" si="87"/>
        <v>-92.7</v>
      </c>
      <c r="CC112" s="13">
        <f t="shared" si="88"/>
        <v>37</v>
      </c>
      <c r="CD112">
        <f t="shared" si="116"/>
        <v>22468</v>
      </c>
      <c r="CE112" s="13">
        <f t="shared" si="117"/>
        <v>37</v>
      </c>
      <c r="CF112" s="13"/>
      <c r="CV112" s="9">
        <f t="shared" si="123"/>
        <v>6.1804753009005751E-2</v>
      </c>
      <c r="CW112" s="9">
        <f t="shared" si="118"/>
        <v>0</v>
      </c>
      <c r="CX112" s="9"/>
      <c r="CY112" s="9">
        <f t="shared" si="119"/>
        <v>6.1804753009005751E-2</v>
      </c>
      <c r="CZ112" s="9">
        <f t="shared" si="120"/>
        <v>0</v>
      </c>
    </row>
    <row r="113" spans="1:104" x14ac:dyDescent="0.25">
      <c r="A113" s="8"/>
      <c r="B113" s="21" t="str">
        <f>'Eingabe Diagramme'!B106</f>
        <v xml:space="preserve">   33.0  23163  -65.8  -93.1      1   0.00    315     28  549.4  549.5  549.4</v>
      </c>
      <c r="C113" s="19"/>
      <c r="D113" s="19"/>
      <c r="E113" s="19"/>
      <c r="F113" s="19"/>
      <c r="G113" s="19"/>
      <c r="H113" s="19"/>
      <c r="I113" s="20"/>
      <c r="J113" s="19"/>
      <c r="K113" s="19"/>
      <c r="L113" s="11" t="str">
        <f t="shared" si="121"/>
        <v xml:space="preserve">   33.0</v>
      </c>
      <c r="M113" s="11" t="str">
        <f t="shared" si="69"/>
        <v>23163</v>
      </c>
      <c r="N113" s="11" t="str">
        <f t="shared" si="70"/>
        <v>-65.8</v>
      </c>
      <c r="O113" s="11" t="str">
        <f t="shared" si="71"/>
        <v>-93.1</v>
      </c>
      <c r="P113" s="11" t="str">
        <f t="shared" si="72"/>
        <v xml:space="preserve">  1</v>
      </c>
      <c r="Q113" s="11" t="str">
        <f t="shared" si="73"/>
        <v xml:space="preserve"> 0.00</v>
      </c>
      <c r="R113" s="11" t="str">
        <f t="shared" si="74"/>
        <v>315</v>
      </c>
      <c r="S113" s="11" t="str">
        <f t="shared" si="75"/>
        <v xml:space="preserve"> 28</v>
      </c>
      <c r="T113" s="11" t="str">
        <f t="shared" si="89"/>
        <v>549.4</v>
      </c>
      <c r="U113" s="11" t="str">
        <f t="shared" si="90"/>
        <v>549.5</v>
      </c>
      <c r="V113" s="11" t="str">
        <f t="shared" si="91"/>
        <v>549.4</v>
      </c>
      <c r="W113" s="11"/>
      <c r="Y113" s="13">
        <f t="shared" si="76"/>
        <v>33</v>
      </c>
      <c r="Z113" s="13">
        <f t="shared" si="77"/>
        <v>23163</v>
      </c>
      <c r="AA113" s="10">
        <f t="shared" si="78"/>
        <v>-65.8</v>
      </c>
      <c r="AB113" s="10">
        <f t="shared" si="79"/>
        <v>-93.1</v>
      </c>
      <c r="AC113" s="13">
        <f t="shared" si="80"/>
        <v>1</v>
      </c>
      <c r="AD113" s="9">
        <f t="shared" si="81"/>
        <v>0</v>
      </c>
      <c r="AE113" s="13">
        <f t="shared" si="82"/>
        <v>315</v>
      </c>
      <c r="AF113" s="13">
        <f t="shared" si="83"/>
        <v>28</v>
      </c>
      <c r="AG113" s="27">
        <f t="shared" si="92"/>
        <v>51.856000000000002</v>
      </c>
      <c r="AH113" s="29">
        <f t="shared" si="93"/>
        <v>549.4</v>
      </c>
      <c r="AI113" s="29">
        <f t="shared" si="94"/>
        <v>549.5</v>
      </c>
      <c r="AJ113" s="29">
        <f t="shared" si="95"/>
        <v>549.4</v>
      </c>
      <c r="AK113" s="27">
        <f t="shared" si="96"/>
        <v>276.25</v>
      </c>
      <c r="AL113" s="27">
        <f t="shared" si="97"/>
        <v>276.35000000000002</v>
      </c>
      <c r="AM113" s="27">
        <f t="shared" si="98"/>
        <v>276.25</v>
      </c>
      <c r="AP113" s="10">
        <f t="shared" si="99"/>
        <v>-93.1</v>
      </c>
      <c r="AQ113" s="13">
        <f t="shared" si="100"/>
        <v>23163</v>
      </c>
      <c r="AR113" s="10">
        <f t="shared" si="101"/>
        <v>-65.8</v>
      </c>
      <c r="AS113" s="13">
        <f t="shared" si="102"/>
        <v>23163</v>
      </c>
      <c r="AV113" s="13">
        <f t="shared" si="103"/>
        <v>33</v>
      </c>
      <c r="AW113" s="13">
        <f t="shared" si="104"/>
        <v>23163</v>
      </c>
      <c r="AY113" s="13">
        <f t="shared" si="105"/>
        <v>1</v>
      </c>
      <c r="AZ113" s="13">
        <f t="shared" si="106"/>
        <v>23163</v>
      </c>
      <c r="BA113" s="13"/>
      <c r="BB113" s="13"/>
      <c r="BC113" s="10">
        <f t="shared" si="107"/>
        <v>27.299999999999997</v>
      </c>
      <c r="BD113" s="10">
        <f t="shared" si="108"/>
        <v>27.299999999999997</v>
      </c>
      <c r="BE113" s="13">
        <f t="shared" si="109"/>
        <v>23163</v>
      </c>
      <c r="BG113" s="9">
        <f t="shared" si="110"/>
        <v>0</v>
      </c>
      <c r="BH113" s="13">
        <f t="shared" si="111"/>
        <v>23163</v>
      </c>
      <c r="BJ113" s="13">
        <f t="shared" si="112"/>
        <v>315</v>
      </c>
      <c r="BK113" s="13">
        <f t="shared" si="113"/>
        <v>23163</v>
      </c>
      <c r="BL113" s="13"/>
      <c r="BM113" s="13">
        <f t="shared" si="114"/>
        <v>51.856000000000002</v>
      </c>
      <c r="BN113" s="13">
        <f t="shared" si="115"/>
        <v>23163</v>
      </c>
      <c r="BO113" s="13"/>
      <c r="BP113" s="13"/>
      <c r="BQ113" s="10"/>
      <c r="BR113" s="10">
        <f t="shared" si="122"/>
        <v>-27.25</v>
      </c>
      <c r="BS113">
        <v>8500</v>
      </c>
      <c r="BT113" s="13"/>
      <c r="BV113" s="25">
        <f t="shared" si="84"/>
        <v>331.05214485427672</v>
      </c>
      <c r="BW113">
        <v>8500</v>
      </c>
      <c r="BX113" s="13"/>
      <c r="BZ113" s="10">
        <f t="shared" si="85"/>
        <v>-65.8</v>
      </c>
      <c r="CA113" s="13">
        <f t="shared" si="86"/>
        <v>33</v>
      </c>
      <c r="CB113" s="9">
        <f t="shared" si="87"/>
        <v>-93.1</v>
      </c>
      <c r="CC113" s="13">
        <f t="shared" si="88"/>
        <v>33</v>
      </c>
      <c r="CD113">
        <f t="shared" si="116"/>
        <v>23163</v>
      </c>
      <c r="CE113" s="13">
        <f t="shared" si="117"/>
        <v>33</v>
      </c>
      <c r="CF113" s="13"/>
      <c r="CV113" s="9">
        <f t="shared" si="123"/>
        <v>5.5442173231177075E-2</v>
      </c>
      <c r="CW113" s="9">
        <f t="shared" si="118"/>
        <v>0</v>
      </c>
      <c r="CX113" s="9"/>
      <c r="CY113" s="9">
        <f t="shared" si="119"/>
        <v>5.5442173231177075E-2</v>
      </c>
      <c r="CZ113" s="9">
        <f t="shared" si="120"/>
        <v>0</v>
      </c>
    </row>
    <row r="114" spans="1:104" x14ac:dyDescent="0.25">
      <c r="A114" s="8"/>
      <c r="B114" s="21" t="str">
        <f>'Eingabe Diagramme'!B107</f>
        <v xml:space="preserve">   31.6  23426  -66.3  -93.3      1   0.00    298     28  555.0  555.0  555.0</v>
      </c>
      <c r="C114" s="19"/>
      <c r="D114" s="19"/>
      <c r="E114" s="19"/>
      <c r="F114" s="19"/>
      <c r="G114" s="19"/>
      <c r="H114" s="19"/>
      <c r="I114" s="20"/>
      <c r="J114" s="19"/>
      <c r="K114" s="19"/>
      <c r="L114" s="11" t="str">
        <f t="shared" si="121"/>
        <v xml:space="preserve">   31.6</v>
      </c>
      <c r="M114" s="11" t="str">
        <f t="shared" si="69"/>
        <v>23426</v>
      </c>
      <c r="N114" s="11" t="str">
        <f t="shared" si="70"/>
        <v>-66.3</v>
      </c>
      <c r="O114" s="11" t="str">
        <f t="shared" si="71"/>
        <v>-93.3</v>
      </c>
      <c r="P114" s="11" t="str">
        <f t="shared" si="72"/>
        <v xml:space="preserve">  1</v>
      </c>
      <c r="Q114" s="11" t="str">
        <f t="shared" si="73"/>
        <v xml:space="preserve"> 0.00</v>
      </c>
      <c r="R114" s="11" t="str">
        <f t="shared" si="74"/>
        <v>298</v>
      </c>
      <c r="S114" s="11" t="str">
        <f t="shared" si="75"/>
        <v xml:space="preserve"> 28</v>
      </c>
      <c r="T114" s="11" t="str">
        <f t="shared" si="89"/>
        <v>555.0</v>
      </c>
      <c r="U114" s="11" t="str">
        <f t="shared" si="90"/>
        <v>555.0</v>
      </c>
      <c r="V114" s="11" t="str">
        <f t="shared" si="91"/>
        <v>555.0</v>
      </c>
      <c r="W114" s="11"/>
      <c r="Y114" s="13">
        <f t="shared" si="76"/>
        <v>31.6</v>
      </c>
      <c r="Z114" s="13">
        <f t="shared" si="77"/>
        <v>23426</v>
      </c>
      <c r="AA114" s="10">
        <f t="shared" si="78"/>
        <v>-66.3</v>
      </c>
      <c r="AB114" s="10">
        <f t="shared" si="79"/>
        <v>-93.3</v>
      </c>
      <c r="AC114" s="13">
        <f t="shared" si="80"/>
        <v>1</v>
      </c>
      <c r="AD114" s="9">
        <f t="shared" si="81"/>
        <v>0</v>
      </c>
      <c r="AE114" s="13">
        <f t="shared" si="82"/>
        <v>298</v>
      </c>
      <c r="AF114" s="13">
        <f t="shared" si="83"/>
        <v>28</v>
      </c>
      <c r="AG114" s="27">
        <f t="shared" si="92"/>
        <v>51.856000000000002</v>
      </c>
      <c r="AH114" s="29">
        <f t="shared" si="93"/>
        <v>555</v>
      </c>
      <c r="AI114" s="29">
        <f t="shared" si="94"/>
        <v>555</v>
      </c>
      <c r="AJ114" s="29">
        <f t="shared" si="95"/>
        <v>555</v>
      </c>
      <c r="AK114" s="27">
        <f t="shared" si="96"/>
        <v>281.85000000000002</v>
      </c>
      <c r="AL114" s="27">
        <f t="shared" si="97"/>
        <v>281.85000000000002</v>
      </c>
      <c r="AM114" s="27">
        <f t="shared" si="98"/>
        <v>281.85000000000002</v>
      </c>
      <c r="AP114" s="10">
        <f t="shared" si="99"/>
        <v>-93.3</v>
      </c>
      <c r="AQ114" s="13">
        <f t="shared" si="100"/>
        <v>23426</v>
      </c>
      <c r="AR114" s="10">
        <f t="shared" si="101"/>
        <v>-66.3</v>
      </c>
      <c r="AS114" s="13">
        <f t="shared" si="102"/>
        <v>23426</v>
      </c>
      <c r="AV114" s="13">
        <f t="shared" si="103"/>
        <v>31.6</v>
      </c>
      <c r="AW114" s="13">
        <f t="shared" si="104"/>
        <v>23426</v>
      </c>
      <c r="AY114" s="13">
        <f t="shared" si="105"/>
        <v>1</v>
      </c>
      <c r="AZ114" s="13">
        <f t="shared" si="106"/>
        <v>23426</v>
      </c>
      <c r="BA114" s="13"/>
      <c r="BB114" s="13"/>
      <c r="BC114" s="10">
        <f t="shared" si="107"/>
        <v>27</v>
      </c>
      <c r="BD114" s="10">
        <f t="shared" si="108"/>
        <v>27</v>
      </c>
      <c r="BE114" s="13">
        <f t="shared" si="109"/>
        <v>23426</v>
      </c>
      <c r="BG114" s="9">
        <f t="shared" si="110"/>
        <v>0</v>
      </c>
      <c r="BH114" s="13">
        <f t="shared" si="111"/>
        <v>23426</v>
      </c>
      <c r="BJ114" s="13">
        <f t="shared" si="112"/>
        <v>298</v>
      </c>
      <c r="BK114" s="13">
        <f t="shared" si="113"/>
        <v>23426</v>
      </c>
      <c r="BL114" s="13"/>
      <c r="BM114" s="13">
        <f t="shared" si="114"/>
        <v>51.856000000000002</v>
      </c>
      <c r="BN114" s="13">
        <f t="shared" si="115"/>
        <v>23426</v>
      </c>
      <c r="BO114" s="13"/>
      <c r="BP114" s="13"/>
      <c r="BQ114" s="10"/>
      <c r="BR114" s="10">
        <f t="shared" si="122"/>
        <v>-27.9</v>
      </c>
      <c r="BS114">
        <v>8600</v>
      </c>
      <c r="BT114" s="13"/>
      <c r="BV114" s="25">
        <f t="shared" si="84"/>
        <v>326.22562086168398</v>
      </c>
      <c r="BW114">
        <v>8600</v>
      </c>
      <c r="BX114" s="13"/>
      <c r="BZ114" s="10">
        <f t="shared" si="85"/>
        <v>-66.3</v>
      </c>
      <c r="CA114" s="13">
        <f t="shared" si="86"/>
        <v>31.6</v>
      </c>
      <c r="CB114" s="9">
        <f t="shared" si="87"/>
        <v>-93.3</v>
      </c>
      <c r="CC114" s="13">
        <f t="shared" si="88"/>
        <v>31.6</v>
      </c>
      <c r="CD114">
        <f t="shared" si="116"/>
        <v>23426</v>
      </c>
      <c r="CE114" s="13">
        <f t="shared" si="117"/>
        <v>31.6</v>
      </c>
      <c r="CF114" s="13"/>
      <c r="CV114" s="9">
        <f t="shared" si="123"/>
        <v>5.3218410936883308E-2</v>
      </c>
      <c r="CW114" s="9">
        <f t="shared" si="118"/>
        <v>0</v>
      </c>
      <c r="CX114" s="9"/>
      <c r="CY114" s="9">
        <f t="shared" si="119"/>
        <v>5.3218410936883308E-2</v>
      </c>
      <c r="CZ114" s="9">
        <f t="shared" si="120"/>
        <v>0</v>
      </c>
    </row>
    <row r="115" spans="1:104" x14ac:dyDescent="0.25">
      <c r="A115" s="8"/>
      <c r="B115" s="21" t="str">
        <f>'Eingabe Diagramme'!B108</f>
        <v xml:space="preserve">   31.0  23542  -65.6  -93.4      1   0.00    290     28  559.9  559.9  559.9</v>
      </c>
      <c r="C115" s="19"/>
      <c r="D115" s="19"/>
      <c r="E115" s="19"/>
      <c r="F115" s="19"/>
      <c r="G115" s="19"/>
      <c r="H115" s="19"/>
      <c r="I115" s="20"/>
      <c r="J115" s="19"/>
      <c r="K115" s="19"/>
      <c r="L115" s="11" t="str">
        <f t="shared" si="121"/>
        <v xml:space="preserve">   31.0</v>
      </c>
      <c r="M115" s="11" t="str">
        <f t="shared" si="69"/>
        <v>23542</v>
      </c>
      <c r="N115" s="11" t="str">
        <f t="shared" si="70"/>
        <v>-65.6</v>
      </c>
      <c r="O115" s="11" t="str">
        <f t="shared" si="71"/>
        <v>-93.4</v>
      </c>
      <c r="P115" s="11" t="str">
        <f t="shared" si="72"/>
        <v xml:space="preserve">  1</v>
      </c>
      <c r="Q115" s="11" t="str">
        <f t="shared" si="73"/>
        <v xml:space="preserve"> 0.00</v>
      </c>
      <c r="R115" s="11" t="str">
        <f t="shared" si="74"/>
        <v>290</v>
      </c>
      <c r="S115" s="11" t="str">
        <f t="shared" si="75"/>
        <v xml:space="preserve"> 28</v>
      </c>
      <c r="T115" s="11" t="str">
        <f t="shared" si="89"/>
        <v>559.9</v>
      </c>
      <c r="U115" s="11" t="str">
        <f t="shared" si="90"/>
        <v>559.9</v>
      </c>
      <c r="V115" s="11" t="str">
        <f t="shared" si="91"/>
        <v>559.9</v>
      </c>
      <c r="W115" s="11"/>
      <c r="Y115" s="13">
        <f t="shared" si="76"/>
        <v>31</v>
      </c>
      <c r="Z115" s="13">
        <f t="shared" si="77"/>
        <v>23542</v>
      </c>
      <c r="AA115" s="10">
        <f t="shared" si="78"/>
        <v>-65.599999999999994</v>
      </c>
      <c r="AB115" s="10">
        <f t="shared" si="79"/>
        <v>-93.4</v>
      </c>
      <c r="AC115" s="13">
        <f t="shared" si="80"/>
        <v>1</v>
      </c>
      <c r="AD115" s="9">
        <f t="shared" si="81"/>
        <v>0</v>
      </c>
      <c r="AE115" s="13">
        <f t="shared" si="82"/>
        <v>290</v>
      </c>
      <c r="AF115" s="13">
        <f t="shared" si="83"/>
        <v>28</v>
      </c>
      <c r="AG115" s="27">
        <f t="shared" si="92"/>
        <v>51.856000000000002</v>
      </c>
      <c r="AH115" s="29">
        <f t="shared" si="93"/>
        <v>559.9</v>
      </c>
      <c r="AI115" s="29">
        <f t="shared" si="94"/>
        <v>559.9</v>
      </c>
      <c r="AJ115" s="29">
        <f t="shared" si="95"/>
        <v>559.9</v>
      </c>
      <c r="AK115" s="27">
        <f t="shared" si="96"/>
        <v>286.75</v>
      </c>
      <c r="AL115" s="27">
        <f t="shared" si="97"/>
        <v>286.75</v>
      </c>
      <c r="AM115" s="27">
        <f t="shared" si="98"/>
        <v>286.75</v>
      </c>
      <c r="AP115" s="10">
        <f t="shared" si="99"/>
        <v>-93.4</v>
      </c>
      <c r="AQ115" s="13">
        <f t="shared" si="100"/>
        <v>23542</v>
      </c>
      <c r="AR115" s="10">
        <f t="shared" si="101"/>
        <v>-65.599999999999994</v>
      </c>
      <c r="AS115" s="13">
        <f t="shared" si="102"/>
        <v>23542</v>
      </c>
      <c r="AV115" s="13">
        <f t="shared" si="103"/>
        <v>31</v>
      </c>
      <c r="AW115" s="13">
        <f t="shared" si="104"/>
        <v>23542</v>
      </c>
      <c r="AY115" s="13">
        <f t="shared" si="105"/>
        <v>1</v>
      </c>
      <c r="AZ115" s="13">
        <f t="shared" si="106"/>
        <v>23542</v>
      </c>
      <c r="BA115" s="13"/>
      <c r="BB115" s="13"/>
      <c r="BC115" s="10">
        <f t="shared" si="107"/>
        <v>27.800000000000011</v>
      </c>
      <c r="BD115" s="10">
        <f t="shared" si="108"/>
        <v>27.800000000000011</v>
      </c>
      <c r="BE115" s="13">
        <f t="shared" si="109"/>
        <v>23542</v>
      </c>
      <c r="BG115" s="9">
        <f t="shared" si="110"/>
        <v>0</v>
      </c>
      <c r="BH115" s="13">
        <f t="shared" si="111"/>
        <v>23542</v>
      </c>
      <c r="BJ115" s="13">
        <f t="shared" si="112"/>
        <v>290</v>
      </c>
      <c r="BK115" s="13">
        <f t="shared" si="113"/>
        <v>23542</v>
      </c>
      <c r="BL115" s="13"/>
      <c r="BM115" s="13">
        <f t="shared" si="114"/>
        <v>51.856000000000002</v>
      </c>
      <c r="BN115" s="13">
        <f t="shared" si="115"/>
        <v>23542</v>
      </c>
      <c r="BO115" s="13"/>
      <c r="BP115" s="13"/>
      <c r="BQ115" s="10"/>
      <c r="BR115" s="10">
        <f t="shared" si="122"/>
        <v>-28.549999999999997</v>
      </c>
      <c r="BS115">
        <v>8700</v>
      </c>
      <c r="BT115" s="13"/>
      <c r="BV115" s="25">
        <f t="shared" si="84"/>
        <v>321.45623258846706</v>
      </c>
      <c r="BW115">
        <v>8700</v>
      </c>
      <c r="BX115" s="13"/>
      <c r="BZ115" s="10">
        <f t="shared" si="85"/>
        <v>-65.599999999999994</v>
      </c>
      <c r="CA115" s="13">
        <f t="shared" si="86"/>
        <v>31</v>
      </c>
      <c r="CB115" s="9">
        <f t="shared" si="87"/>
        <v>-93.4</v>
      </c>
      <c r="CC115" s="13">
        <f t="shared" si="88"/>
        <v>31</v>
      </c>
      <c r="CD115">
        <f t="shared" si="116"/>
        <v>23542</v>
      </c>
      <c r="CE115" s="13">
        <f t="shared" si="117"/>
        <v>31</v>
      </c>
      <c r="CF115" s="13"/>
      <c r="CV115" s="9">
        <f t="shared" si="123"/>
        <v>5.2031854055469881E-2</v>
      </c>
      <c r="CW115" s="9">
        <f t="shared" si="118"/>
        <v>0</v>
      </c>
      <c r="CX115" s="9"/>
      <c r="CY115" s="9">
        <f t="shared" si="119"/>
        <v>5.2031854055469881E-2</v>
      </c>
      <c r="CZ115" s="9">
        <f t="shared" si="120"/>
        <v>0</v>
      </c>
    </row>
    <row r="116" spans="1:104" x14ac:dyDescent="0.25">
      <c r="A116" s="8"/>
      <c r="B116" s="21" t="str">
        <f>'Eingabe Diagramme'!B109</f>
        <v xml:space="preserve">   30.0  23740  -64.5  -93.5      1   0.00    295     11  568.2  568.2  568.2</v>
      </c>
      <c r="C116" s="19"/>
      <c r="D116" s="19"/>
      <c r="E116" s="19"/>
      <c r="F116" s="19"/>
      <c r="G116" s="19"/>
      <c r="H116" s="19"/>
      <c r="I116" s="20"/>
      <c r="J116" s="19"/>
      <c r="K116" s="19"/>
      <c r="L116" s="11" t="str">
        <f t="shared" si="121"/>
        <v xml:space="preserve">   30.0</v>
      </c>
      <c r="M116" s="11" t="str">
        <f t="shared" si="69"/>
        <v>23740</v>
      </c>
      <c r="N116" s="11" t="str">
        <f t="shared" si="70"/>
        <v>-64.5</v>
      </c>
      <c r="O116" s="11" t="str">
        <f t="shared" si="71"/>
        <v>-93.5</v>
      </c>
      <c r="P116" s="11" t="str">
        <f t="shared" si="72"/>
        <v xml:space="preserve">  1</v>
      </c>
      <c r="Q116" s="11" t="str">
        <f t="shared" si="73"/>
        <v xml:space="preserve"> 0.00</v>
      </c>
      <c r="R116" s="11" t="str">
        <f t="shared" si="74"/>
        <v>295</v>
      </c>
      <c r="S116" s="11" t="str">
        <f t="shared" si="75"/>
        <v xml:space="preserve"> 11</v>
      </c>
      <c r="T116" s="11" t="str">
        <f t="shared" si="89"/>
        <v>568.2</v>
      </c>
      <c r="U116" s="11" t="str">
        <f t="shared" si="90"/>
        <v>568.2</v>
      </c>
      <c r="V116" s="11" t="str">
        <f t="shared" si="91"/>
        <v>568.2</v>
      </c>
      <c r="W116" s="11"/>
      <c r="Y116" s="13">
        <f t="shared" si="76"/>
        <v>30</v>
      </c>
      <c r="Z116" s="13">
        <f t="shared" si="77"/>
        <v>23740</v>
      </c>
      <c r="AA116" s="10">
        <f t="shared" si="78"/>
        <v>-64.5</v>
      </c>
      <c r="AB116" s="10">
        <f t="shared" si="79"/>
        <v>-93.5</v>
      </c>
      <c r="AC116" s="13">
        <f t="shared" si="80"/>
        <v>1</v>
      </c>
      <c r="AD116" s="9">
        <f t="shared" si="81"/>
        <v>0</v>
      </c>
      <c r="AE116" s="13">
        <f t="shared" si="82"/>
        <v>295</v>
      </c>
      <c r="AF116" s="13">
        <f t="shared" si="83"/>
        <v>11</v>
      </c>
      <c r="AG116" s="27">
        <f t="shared" si="92"/>
        <v>20.372</v>
      </c>
      <c r="AH116" s="29">
        <f t="shared" si="93"/>
        <v>568.20000000000005</v>
      </c>
      <c r="AI116" s="29">
        <f t="shared" si="94"/>
        <v>568.20000000000005</v>
      </c>
      <c r="AJ116" s="29">
        <f t="shared" si="95"/>
        <v>568.20000000000005</v>
      </c>
      <c r="AK116" s="27">
        <f t="shared" si="96"/>
        <v>295.05000000000007</v>
      </c>
      <c r="AL116" s="27">
        <f t="shared" si="97"/>
        <v>295.05000000000007</v>
      </c>
      <c r="AM116" s="27">
        <f t="shared" si="98"/>
        <v>295.05000000000007</v>
      </c>
      <c r="AP116" s="10">
        <f t="shared" si="99"/>
        <v>-93.5</v>
      </c>
      <c r="AQ116" s="13">
        <f t="shared" si="100"/>
        <v>23740</v>
      </c>
      <c r="AR116" s="10">
        <f t="shared" si="101"/>
        <v>-64.5</v>
      </c>
      <c r="AS116" s="13">
        <f t="shared" si="102"/>
        <v>23740</v>
      </c>
      <c r="AV116" s="13">
        <f t="shared" si="103"/>
        <v>30</v>
      </c>
      <c r="AW116" s="13">
        <f t="shared" si="104"/>
        <v>23740</v>
      </c>
      <c r="AY116" s="13">
        <f t="shared" si="105"/>
        <v>1</v>
      </c>
      <c r="AZ116" s="13">
        <f t="shared" si="106"/>
        <v>23740</v>
      </c>
      <c r="BA116" s="13"/>
      <c r="BB116" s="13"/>
      <c r="BC116" s="10">
        <f t="shared" si="107"/>
        <v>29</v>
      </c>
      <c r="BD116" s="10">
        <f t="shared" si="108"/>
        <v>29</v>
      </c>
      <c r="BE116" s="13">
        <f t="shared" si="109"/>
        <v>23740</v>
      </c>
      <c r="BG116" s="9">
        <f t="shared" si="110"/>
        <v>0</v>
      </c>
      <c r="BH116" s="13">
        <f t="shared" si="111"/>
        <v>23740</v>
      </c>
      <c r="BJ116" s="13">
        <f t="shared" si="112"/>
        <v>295</v>
      </c>
      <c r="BK116" s="13">
        <f t="shared" si="113"/>
        <v>23740</v>
      </c>
      <c r="BL116" s="13"/>
      <c r="BM116" s="13">
        <f t="shared" si="114"/>
        <v>20.372</v>
      </c>
      <c r="BN116" s="13">
        <f t="shared" si="115"/>
        <v>23740</v>
      </c>
      <c r="BO116" s="13"/>
      <c r="BP116" s="13"/>
      <c r="BQ116" s="10"/>
      <c r="BR116" s="10">
        <f t="shared" si="122"/>
        <v>-29.199999999999996</v>
      </c>
      <c r="BS116">
        <v>8800</v>
      </c>
      <c r="BT116" s="13"/>
      <c r="BV116" s="25">
        <f t="shared" si="84"/>
        <v>316.74346118195399</v>
      </c>
      <c r="BW116">
        <v>8800</v>
      </c>
      <c r="BX116" s="13"/>
      <c r="BZ116" s="10">
        <f t="shared" si="85"/>
        <v>-64.5</v>
      </c>
      <c r="CA116" s="13">
        <f t="shared" si="86"/>
        <v>30</v>
      </c>
      <c r="CB116" s="9">
        <f t="shared" si="87"/>
        <v>-93.5</v>
      </c>
      <c r="CC116" s="13">
        <f t="shared" si="88"/>
        <v>30</v>
      </c>
      <c r="CD116">
        <f t="shared" si="116"/>
        <v>23740</v>
      </c>
      <c r="CE116" s="13">
        <f t="shared" si="117"/>
        <v>30</v>
      </c>
      <c r="CF116" s="13"/>
      <c r="CV116" s="9">
        <f t="shared" si="123"/>
        <v>5.0087944663680217E-2</v>
      </c>
      <c r="CW116" s="9">
        <f t="shared" si="118"/>
        <v>0</v>
      </c>
      <c r="CX116" s="9"/>
      <c r="CY116" s="9">
        <f t="shared" si="119"/>
        <v>5.0087944663680217E-2</v>
      </c>
      <c r="CZ116" s="9">
        <f t="shared" si="120"/>
        <v>0</v>
      </c>
    </row>
    <row r="117" spans="1:104" x14ac:dyDescent="0.25">
      <c r="A117" s="8"/>
      <c r="B117" s="21" t="str">
        <f>'Eingabe Diagramme'!B110</f>
        <v xml:space="preserve">   28.0  24165  -62.8  -92.9      1   0.00    225     13  584.2  584.2  584.2</v>
      </c>
      <c r="C117" s="19"/>
      <c r="D117" s="19"/>
      <c r="E117" s="19"/>
      <c r="F117" s="19"/>
      <c r="G117" s="19"/>
      <c r="H117" s="19"/>
      <c r="I117" s="20"/>
      <c r="J117" s="19"/>
      <c r="K117" s="19"/>
      <c r="L117" s="11" t="str">
        <f t="shared" si="121"/>
        <v xml:space="preserve">   28.0</v>
      </c>
      <c r="M117" s="11" t="str">
        <f t="shared" si="69"/>
        <v>24165</v>
      </c>
      <c r="N117" s="11" t="str">
        <f t="shared" si="70"/>
        <v>-62.8</v>
      </c>
      <c r="O117" s="11" t="str">
        <f t="shared" si="71"/>
        <v>-92.9</v>
      </c>
      <c r="P117" s="11" t="str">
        <f t="shared" si="72"/>
        <v xml:space="preserve">  1</v>
      </c>
      <c r="Q117" s="11" t="str">
        <f t="shared" si="73"/>
        <v xml:space="preserve"> 0.00</v>
      </c>
      <c r="R117" s="11" t="str">
        <f t="shared" si="74"/>
        <v>225</v>
      </c>
      <c r="S117" s="11" t="str">
        <f t="shared" si="75"/>
        <v xml:space="preserve"> 13</v>
      </c>
      <c r="T117" s="11" t="str">
        <f t="shared" si="89"/>
        <v>584.2</v>
      </c>
      <c r="U117" s="11" t="str">
        <f t="shared" si="90"/>
        <v>584.2</v>
      </c>
      <c r="V117" s="11" t="str">
        <f t="shared" si="91"/>
        <v>584.2</v>
      </c>
      <c r="W117" s="11"/>
      <c r="Y117" s="13">
        <f t="shared" si="76"/>
        <v>28</v>
      </c>
      <c r="Z117" s="13">
        <f t="shared" si="77"/>
        <v>24165</v>
      </c>
      <c r="AA117" s="10">
        <f t="shared" si="78"/>
        <v>-62.8</v>
      </c>
      <c r="AB117" s="10">
        <f t="shared" si="79"/>
        <v>-92.9</v>
      </c>
      <c r="AC117" s="13">
        <f t="shared" si="80"/>
        <v>1</v>
      </c>
      <c r="AD117" s="9">
        <f t="shared" si="81"/>
        <v>0</v>
      </c>
      <c r="AE117" s="13">
        <f t="shared" si="82"/>
        <v>225</v>
      </c>
      <c r="AF117" s="13">
        <f t="shared" si="83"/>
        <v>13</v>
      </c>
      <c r="AG117" s="27">
        <f t="shared" si="92"/>
        <v>24.076000000000001</v>
      </c>
      <c r="AH117" s="29">
        <f t="shared" si="93"/>
        <v>584.20000000000005</v>
      </c>
      <c r="AI117" s="29">
        <f t="shared" si="94"/>
        <v>584.20000000000005</v>
      </c>
      <c r="AJ117" s="29">
        <f t="shared" si="95"/>
        <v>584.20000000000005</v>
      </c>
      <c r="AK117" s="27">
        <f t="shared" si="96"/>
        <v>311.05000000000007</v>
      </c>
      <c r="AL117" s="27">
        <f t="shared" si="97"/>
        <v>311.05000000000007</v>
      </c>
      <c r="AM117" s="27">
        <f t="shared" si="98"/>
        <v>311.05000000000007</v>
      </c>
      <c r="AP117" s="10">
        <f t="shared" si="99"/>
        <v>-92.9</v>
      </c>
      <c r="AQ117" s="13">
        <f t="shared" si="100"/>
        <v>24165</v>
      </c>
      <c r="AR117" s="10">
        <f t="shared" si="101"/>
        <v>-62.8</v>
      </c>
      <c r="AS117" s="13">
        <f t="shared" si="102"/>
        <v>24165</v>
      </c>
      <c r="AV117" s="13">
        <f t="shared" si="103"/>
        <v>28</v>
      </c>
      <c r="AW117" s="13">
        <f t="shared" si="104"/>
        <v>24165</v>
      </c>
      <c r="AY117" s="13">
        <f t="shared" si="105"/>
        <v>1</v>
      </c>
      <c r="AZ117" s="13">
        <f t="shared" si="106"/>
        <v>24165</v>
      </c>
      <c r="BA117" s="13"/>
      <c r="BB117" s="13"/>
      <c r="BC117" s="10">
        <f t="shared" si="107"/>
        <v>30.100000000000009</v>
      </c>
      <c r="BD117" s="10">
        <f t="shared" si="108"/>
        <v>30.100000000000009</v>
      </c>
      <c r="BE117" s="13">
        <f t="shared" si="109"/>
        <v>24165</v>
      </c>
      <c r="BG117" s="9">
        <f t="shared" si="110"/>
        <v>0</v>
      </c>
      <c r="BH117" s="13">
        <f t="shared" si="111"/>
        <v>24165</v>
      </c>
      <c r="BJ117" s="13">
        <f t="shared" si="112"/>
        <v>225</v>
      </c>
      <c r="BK117" s="13">
        <f t="shared" si="113"/>
        <v>24165</v>
      </c>
      <c r="BL117" s="13"/>
      <c r="BM117" s="13">
        <f t="shared" si="114"/>
        <v>24.076000000000001</v>
      </c>
      <c r="BN117" s="13">
        <f t="shared" si="115"/>
        <v>24165</v>
      </c>
      <c r="BO117" s="13"/>
      <c r="BP117" s="13"/>
      <c r="BQ117" s="10"/>
      <c r="BR117" s="10">
        <f t="shared" si="122"/>
        <v>-29.849999999999994</v>
      </c>
      <c r="BS117">
        <v>8900</v>
      </c>
      <c r="BT117" s="13"/>
      <c r="BV117" s="25">
        <f t="shared" si="84"/>
        <v>312.08679106281193</v>
      </c>
      <c r="BW117">
        <v>8900</v>
      </c>
      <c r="BX117" s="13"/>
      <c r="BZ117" s="10">
        <f t="shared" si="85"/>
        <v>-62.8</v>
      </c>
      <c r="CA117" s="13">
        <f t="shared" si="86"/>
        <v>28</v>
      </c>
      <c r="CB117" s="9">
        <f t="shared" si="87"/>
        <v>-92.9</v>
      </c>
      <c r="CC117" s="13">
        <f t="shared" si="88"/>
        <v>28</v>
      </c>
      <c r="CD117">
        <f t="shared" si="116"/>
        <v>24165</v>
      </c>
      <c r="CE117" s="13">
        <f t="shared" si="117"/>
        <v>28</v>
      </c>
      <c r="CF117" s="13"/>
      <c r="CV117" s="9">
        <f t="shared" si="123"/>
        <v>4.6370935791799794E-2</v>
      </c>
      <c r="CW117" s="9">
        <f t="shared" si="118"/>
        <v>0</v>
      </c>
      <c r="CX117" s="9"/>
      <c r="CY117" s="9">
        <f t="shared" si="119"/>
        <v>4.6370935791799794E-2</v>
      </c>
      <c r="CZ117" s="9">
        <f t="shared" si="120"/>
        <v>0</v>
      </c>
    </row>
    <row r="118" spans="1:104" x14ac:dyDescent="0.25">
      <c r="A118" s="8"/>
      <c r="B118" s="21" t="str">
        <f>'Eingabe Diagramme'!B111</f>
        <v xml:space="preserve">   26.5  24504  -61.5  -92.5      1   0.00    244     24  597.2  597.2  597.2</v>
      </c>
      <c r="C118" s="19"/>
      <c r="D118" s="19"/>
      <c r="E118" s="19"/>
      <c r="F118" s="19"/>
      <c r="G118" s="19"/>
      <c r="H118" s="19"/>
      <c r="I118" s="20"/>
      <c r="J118" s="19"/>
      <c r="K118" s="19"/>
      <c r="L118" s="11" t="str">
        <f t="shared" si="121"/>
        <v xml:space="preserve">   26.5</v>
      </c>
      <c r="M118" s="11" t="str">
        <f t="shared" si="69"/>
        <v>24504</v>
      </c>
      <c r="N118" s="11" t="str">
        <f t="shared" si="70"/>
        <v>-61.5</v>
      </c>
      <c r="O118" s="11" t="str">
        <f t="shared" si="71"/>
        <v>-92.5</v>
      </c>
      <c r="P118" s="11" t="str">
        <f t="shared" si="72"/>
        <v xml:space="preserve">  1</v>
      </c>
      <c r="Q118" s="11" t="str">
        <f t="shared" si="73"/>
        <v xml:space="preserve"> 0.00</v>
      </c>
      <c r="R118" s="11" t="str">
        <f t="shared" si="74"/>
        <v>244</v>
      </c>
      <c r="S118" s="11" t="str">
        <f t="shared" si="75"/>
        <v xml:space="preserve"> 24</v>
      </c>
      <c r="T118" s="11" t="str">
        <f t="shared" si="89"/>
        <v>597.2</v>
      </c>
      <c r="U118" s="11" t="str">
        <f t="shared" si="90"/>
        <v>597.2</v>
      </c>
      <c r="V118" s="11" t="str">
        <f t="shared" si="91"/>
        <v>597.2</v>
      </c>
      <c r="W118" s="11"/>
      <c r="Y118" s="13">
        <f t="shared" si="76"/>
        <v>26.5</v>
      </c>
      <c r="Z118" s="13">
        <f t="shared" si="77"/>
        <v>24504</v>
      </c>
      <c r="AA118" s="10">
        <f t="shared" si="78"/>
        <v>-61.5</v>
      </c>
      <c r="AB118" s="10">
        <f t="shared" si="79"/>
        <v>-92.5</v>
      </c>
      <c r="AC118" s="13">
        <f t="shared" si="80"/>
        <v>1</v>
      </c>
      <c r="AD118" s="9">
        <f t="shared" si="81"/>
        <v>0</v>
      </c>
      <c r="AE118" s="13">
        <f t="shared" si="82"/>
        <v>244</v>
      </c>
      <c r="AF118" s="13">
        <f t="shared" si="83"/>
        <v>24</v>
      </c>
      <c r="AG118" s="27">
        <f t="shared" si="92"/>
        <v>44.448</v>
      </c>
      <c r="AH118" s="29">
        <f t="shared" si="93"/>
        <v>597.20000000000005</v>
      </c>
      <c r="AI118" s="29">
        <f t="shared" si="94"/>
        <v>597.20000000000005</v>
      </c>
      <c r="AJ118" s="29">
        <f t="shared" si="95"/>
        <v>597.20000000000005</v>
      </c>
      <c r="AK118" s="27">
        <f t="shared" si="96"/>
        <v>324.05000000000007</v>
      </c>
      <c r="AL118" s="27">
        <f t="shared" si="97"/>
        <v>324.05000000000007</v>
      </c>
      <c r="AM118" s="27">
        <f t="shared" si="98"/>
        <v>324.05000000000007</v>
      </c>
      <c r="AP118" s="10">
        <f t="shared" si="99"/>
        <v>-92.5</v>
      </c>
      <c r="AQ118" s="13">
        <f t="shared" si="100"/>
        <v>24504</v>
      </c>
      <c r="AR118" s="10">
        <f t="shared" si="101"/>
        <v>-61.5</v>
      </c>
      <c r="AS118" s="13">
        <f t="shared" si="102"/>
        <v>24504</v>
      </c>
      <c r="AV118" s="13">
        <f t="shared" si="103"/>
        <v>26.5</v>
      </c>
      <c r="AW118" s="13">
        <f t="shared" si="104"/>
        <v>24504</v>
      </c>
      <c r="AY118" s="13">
        <f t="shared" si="105"/>
        <v>1</v>
      </c>
      <c r="AZ118" s="13">
        <f t="shared" si="106"/>
        <v>24504</v>
      </c>
      <c r="BA118" s="13"/>
      <c r="BB118" s="13"/>
      <c r="BC118" s="10">
        <f t="shared" si="107"/>
        <v>31</v>
      </c>
      <c r="BD118" s="10">
        <f t="shared" si="108"/>
        <v>31</v>
      </c>
      <c r="BE118" s="13">
        <f t="shared" si="109"/>
        <v>24504</v>
      </c>
      <c r="BG118" s="9">
        <f t="shared" si="110"/>
        <v>0</v>
      </c>
      <c r="BH118" s="13">
        <f t="shared" si="111"/>
        <v>24504</v>
      </c>
      <c r="BJ118" s="13">
        <f t="shared" si="112"/>
        <v>244</v>
      </c>
      <c r="BK118" s="13">
        <f t="shared" si="113"/>
        <v>24504</v>
      </c>
      <c r="BL118" s="13"/>
      <c r="BM118" s="13">
        <f t="shared" si="114"/>
        <v>44.448</v>
      </c>
      <c r="BN118" s="13">
        <f t="shared" si="115"/>
        <v>24504</v>
      </c>
      <c r="BO118" s="13"/>
      <c r="BP118" s="13"/>
      <c r="BQ118" s="10"/>
      <c r="BR118" s="10">
        <f t="shared" si="122"/>
        <v>-30.5</v>
      </c>
      <c r="BS118">
        <v>9000</v>
      </c>
      <c r="BT118" s="13"/>
      <c r="BV118" s="25">
        <f t="shared" si="84"/>
        <v>307.48570991352238</v>
      </c>
      <c r="BW118">
        <v>9000</v>
      </c>
      <c r="BX118" s="13"/>
      <c r="BZ118" s="10">
        <f t="shared" si="85"/>
        <v>-61.5</v>
      </c>
      <c r="CA118" s="13">
        <f t="shared" si="86"/>
        <v>26.5</v>
      </c>
      <c r="CB118" s="9">
        <f t="shared" si="87"/>
        <v>-92.5</v>
      </c>
      <c r="CC118" s="13">
        <f t="shared" si="88"/>
        <v>26.5</v>
      </c>
      <c r="CD118">
        <f t="shared" si="116"/>
        <v>24504</v>
      </c>
      <c r="CE118" s="13">
        <f t="shared" si="117"/>
        <v>26.5</v>
      </c>
      <c r="CF118" s="13"/>
      <c r="CV118" s="9">
        <f t="shared" si="123"/>
        <v>4.3617216447442674E-2</v>
      </c>
      <c r="CW118" s="9">
        <f t="shared" si="118"/>
        <v>0</v>
      </c>
      <c r="CX118" s="9"/>
      <c r="CY118" s="9">
        <f t="shared" si="119"/>
        <v>4.3617216447442674E-2</v>
      </c>
      <c r="CZ118" s="9">
        <f t="shared" si="120"/>
        <v>0</v>
      </c>
    </row>
    <row r="119" spans="1:104" x14ac:dyDescent="0.25">
      <c r="A119" s="8"/>
      <c r="B119" s="21" t="str">
        <f>'Eingabe Diagramme'!B112</f>
        <v xml:space="preserve">   26.0  24621  -61.6  -92.5      1   0.00    250     28  600.0  600.1  600.0</v>
      </c>
      <c r="C119" s="19"/>
      <c r="D119" s="19"/>
      <c r="E119" s="19"/>
      <c r="F119" s="19"/>
      <c r="G119" s="19"/>
      <c r="H119" s="19"/>
      <c r="I119" s="20"/>
      <c r="J119" s="19"/>
      <c r="K119" s="19"/>
      <c r="L119" s="11" t="str">
        <f t="shared" si="121"/>
        <v xml:space="preserve">   26.0</v>
      </c>
      <c r="M119" s="11" t="str">
        <f t="shared" si="69"/>
        <v>24621</v>
      </c>
      <c r="N119" s="11" t="str">
        <f t="shared" si="70"/>
        <v>-61.6</v>
      </c>
      <c r="O119" s="11" t="str">
        <f t="shared" si="71"/>
        <v>-92.5</v>
      </c>
      <c r="P119" s="11" t="str">
        <f t="shared" si="72"/>
        <v xml:space="preserve">  1</v>
      </c>
      <c r="Q119" s="11" t="str">
        <f t="shared" si="73"/>
        <v xml:space="preserve"> 0.00</v>
      </c>
      <c r="R119" s="11" t="str">
        <f t="shared" si="74"/>
        <v>250</v>
      </c>
      <c r="S119" s="11" t="str">
        <f t="shared" si="75"/>
        <v xml:space="preserve"> 28</v>
      </c>
      <c r="T119" s="11" t="str">
        <f t="shared" si="89"/>
        <v>600.0</v>
      </c>
      <c r="U119" s="11" t="str">
        <f t="shared" si="90"/>
        <v>600.1</v>
      </c>
      <c r="V119" s="11" t="str">
        <f t="shared" si="91"/>
        <v>600.0</v>
      </c>
      <c r="W119" s="11"/>
      <c r="Y119" s="13">
        <f t="shared" si="76"/>
        <v>26</v>
      </c>
      <c r="Z119" s="13">
        <f t="shared" si="77"/>
        <v>24621</v>
      </c>
      <c r="AA119" s="10">
        <f t="shared" si="78"/>
        <v>-61.6</v>
      </c>
      <c r="AB119" s="10">
        <f t="shared" si="79"/>
        <v>-92.5</v>
      </c>
      <c r="AC119" s="13">
        <f t="shared" si="80"/>
        <v>1</v>
      </c>
      <c r="AD119" s="9">
        <f t="shared" si="81"/>
        <v>0</v>
      </c>
      <c r="AE119" s="13">
        <f t="shared" si="82"/>
        <v>250</v>
      </c>
      <c r="AF119" s="13">
        <f t="shared" si="83"/>
        <v>28</v>
      </c>
      <c r="AG119" s="27">
        <f t="shared" si="92"/>
        <v>51.856000000000002</v>
      </c>
      <c r="AH119" s="29">
        <f t="shared" si="93"/>
        <v>600</v>
      </c>
      <c r="AI119" s="29">
        <f t="shared" si="94"/>
        <v>600.1</v>
      </c>
      <c r="AJ119" s="29">
        <f t="shared" si="95"/>
        <v>600</v>
      </c>
      <c r="AK119" s="27">
        <f t="shared" si="96"/>
        <v>326.85000000000002</v>
      </c>
      <c r="AL119" s="27">
        <f t="shared" si="97"/>
        <v>326.95000000000005</v>
      </c>
      <c r="AM119" s="27">
        <f t="shared" si="98"/>
        <v>326.85000000000002</v>
      </c>
      <c r="AP119" s="10">
        <f t="shared" si="99"/>
        <v>-92.5</v>
      </c>
      <c r="AQ119" s="13">
        <f t="shared" si="100"/>
        <v>24621</v>
      </c>
      <c r="AR119" s="10">
        <f t="shared" si="101"/>
        <v>-61.6</v>
      </c>
      <c r="AS119" s="13">
        <f t="shared" si="102"/>
        <v>24621</v>
      </c>
      <c r="AV119" s="13">
        <f t="shared" si="103"/>
        <v>26</v>
      </c>
      <c r="AW119" s="13">
        <f t="shared" si="104"/>
        <v>24621</v>
      </c>
      <c r="AY119" s="13">
        <f t="shared" si="105"/>
        <v>1</v>
      </c>
      <c r="AZ119" s="13">
        <f t="shared" si="106"/>
        <v>24621</v>
      </c>
      <c r="BA119" s="13"/>
      <c r="BB119" s="13"/>
      <c r="BC119" s="10">
        <f t="shared" si="107"/>
        <v>30.9</v>
      </c>
      <c r="BD119" s="10">
        <f t="shared" si="108"/>
        <v>30.9</v>
      </c>
      <c r="BE119" s="13">
        <f t="shared" si="109"/>
        <v>24621</v>
      </c>
      <c r="BG119" s="9">
        <f t="shared" si="110"/>
        <v>0</v>
      </c>
      <c r="BH119" s="13">
        <f t="shared" si="111"/>
        <v>24621</v>
      </c>
      <c r="BJ119" s="13">
        <f t="shared" si="112"/>
        <v>250</v>
      </c>
      <c r="BK119" s="13">
        <f t="shared" si="113"/>
        <v>24621</v>
      </c>
      <c r="BL119" s="13"/>
      <c r="BM119" s="13">
        <f t="shared" si="114"/>
        <v>51.856000000000002</v>
      </c>
      <c r="BN119" s="13">
        <f t="shared" si="115"/>
        <v>24621</v>
      </c>
      <c r="BO119" s="13"/>
      <c r="BP119" s="13"/>
      <c r="BQ119" s="10"/>
      <c r="BR119" s="10">
        <f t="shared" si="122"/>
        <v>-31.15</v>
      </c>
      <c r="BS119">
        <v>9100</v>
      </c>
      <c r="BT119" s="13"/>
      <c r="BV119" s="25">
        <f t="shared" si="84"/>
        <v>302.93970866686465</v>
      </c>
      <c r="BW119">
        <v>9100</v>
      </c>
      <c r="BX119" s="13"/>
      <c r="BZ119" s="10">
        <f t="shared" si="85"/>
        <v>-61.6</v>
      </c>
      <c r="CA119" s="13">
        <f t="shared" si="86"/>
        <v>26</v>
      </c>
      <c r="CB119" s="9">
        <f t="shared" si="87"/>
        <v>-92.5</v>
      </c>
      <c r="CC119" s="13">
        <f t="shared" si="88"/>
        <v>26</v>
      </c>
      <c r="CD119">
        <f t="shared" si="116"/>
        <v>24621</v>
      </c>
      <c r="CE119" s="13">
        <f t="shared" si="117"/>
        <v>26</v>
      </c>
      <c r="CF119" s="13"/>
      <c r="CV119" s="9">
        <f t="shared" si="123"/>
        <v>4.2814479005120747E-2</v>
      </c>
      <c r="CW119" s="9">
        <f t="shared" si="118"/>
        <v>0</v>
      </c>
      <c r="CX119" s="9"/>
      <c r="CY119" s="9">
        <f t="shared" si="119"/>
        <v>4.2814479005120747E-2</v>
      </c>
      <c r="CZ119" s="9">
        <f t="shared" si="120"/>
        <v>0</v>
      </c>
    </row>
    <row r="120" spans="1:104" x14ac:dyDescent="0.25">
      <c r="A120" s="8"/>
      <c r="B120" s="21" t="str">
        <f>'Eingabe Diagramme'!B113</f>
        <v xml:space="preserve">   25.0  24863  -62.0  -92.5      1   0.00    240     31  605.9  606.0  605.9</v>
      </c>
      <c r="C120" s="19"/>
      <c r="D120" s="19"/>
      <c r="E120" s="19"/>
      <c r="F120" s="19"/>
      <c r="G120" s="19"/>
      <c r="H120" s="19"/>
      <c r="I120" s="20"/>
      <c r="J120" s="19"/>
      <c r="K120" s="19"/>
      <c r="L120" s="11" t="str">
        <f t="shared" si="121"/>
        <v xml:space="preserve">   25.0</v>
      </c>
      <c r="M120" s="11" t="str">
        <f t="shared" si="69"/>
        <v>24863</v>
      </c>
      <c r="N120" s="11" t="str">
        <f t="shared" si="70"/>
        <v>-62.0</v>
      </c>
      <c r="O120" s="11" t="str">
        <f t="shared" si="71"/>
        <v>-92.5</v>
      </c>
      <c r="P120" s="11" t="str">
        <f t="shared" si="72"/>
        <v xml:space="preserve">  1</v>
      </c>
      <c r="Q120" s="11" t="str">
        <f t="shared" si="73"/>
        <v xml:space="preserve"> 0.00</v>
      </c>
      <c r="R120" s="11" t="str">
        <f t="shared" si="74"/>
        <v>240</v>
      </c>
      <c r="S120" s="11" t="str">
        <f t="shared" si="75"/>
        <v xml:space="preserve"> 31</v>
      </c>
      <c r="T120" s="11" t="str">
        <f t="shared" si="89"/>
        <v>605.9</v>
      </c>
      <c r="U120" s="11" t="str">
        <f t="shared" si="90"/>
        <v>606.0</v>
      </c>
      <c r="V120" s="11" t="str">
        <f t="shared" si="91"/>
        <v>605.9</v>
      </c>
      <c r="W120" s="11"/>
      <c r="Y120" s="13">
        <f t="shared" si="76"/>
        <v>25</v>
      </c>
      <c r="Z120" s="13">
        <f t="shared" si="77"/>
        <v>24863</v>
      </c>
      <c r="AA120" s="10">
        <f t="shared" si="78"/>
        <v>-62</v>
      </c>
      <c r="AB120" s="10">
        <f t="shared" si="79"/>
        <v>-92.5</v>
      </c>
      <c r="AC120" s="13">
        <f t="shared" si="80"/>
        <v>1</v>
      </c>
      <c r="AD120" s="9">
        <f t="shared" si="81"/>
        <v>0</v>
      </c>
      <c r="AE120" s="13">
        <f t="shared" si="82"/>
        <v>240</v>
      </c>
      <c r="AF120" s="13">
        <f t="shared" si="83"/>
        <v>31</v>
      </c>
      <c r="AG120" s="27">
        <f t="shared" si="92"/>
        <v>57.412000000000006</v>
      </c>
      <c r="AH120" s="29">
        <f t="shared" si="93"/>
        <v>605.9</v>
      </c>
      <c r="AI120" s="29">
        <f t="shared" si="94"/>
        <v>606</v>
      </c>
      <c r="AJ120" s="29">
        <f t="shared" si="95"/>
        <v>605.9</v>
      </c>
      <c r="AK120" s="27">
        <f t="shared" si="96"/>
        <v>332.75</v>
      </c>
      <c r="AL120" s="27">
        <f t="shared" si="97"/>
        <v>332.85</v>
      </c>
      <c r="AM120" s="27">
        <f t="shared" si="98"/>
        <v>332.75</v>
      </c>
      <c r="AP120" s="10">
        <f t="shared" si="99"/>
        <v>-92.5</v>
      </c>
      <c r="AQ120" s="13">
        <f t="shared" si="100"/>
        <v>24863</v>
      </c>
      <c r="AR120" s="10">
        <f t="shared" si="101"/>
        <v>-62</v>
      </c>
      <c r="AS120" s="13">
        <f t="shared" si="102"/>
        <v>24863</v>
      </c>
      <c r="AV120" s="13">
        <f t="shared" si="103"/>
        <v>25</v>
      </c>
      <c r="AW120" s="13">
        <f t="shared" si="104"/>
        <v>24863</v>
      </c>
      <c r="AY120" s="13">
        <f t="shared" si="105"/>
        <v>1</v>
      </c>
      <c r="AZ120" s="13">
        <f t="shared" si="106"/>
        <v>24863</v>
      </c>
      <c r="BA120" s="13"/>
      <c r="BB120" s="13"/>
      <c r="BC120" s="10">
        <f t="shared" si="107"/>
        <v>30.5</v>
      </c>
      <c r="BD120" s="10">
        <f t="shared" si="108"/>
        <v>30.5</v>
      </c>
      <c r="BE120" s="13">
        <f t="shared" si="109"/>
        <v>24863</v>
      </c>
      <c r="BG120" s="9">
        <f t="shared" si="110"/>
        <v>0</v>
      </c>
      <c r="BH120" s="13">
        <f t="shared" si="111"/>
        <v>24863</v>
      </c>
      <c r="BJ120" s="13">
        <f t="shared" si="112"/>
        <v>240</v>
      </c>
      <c r="BK120" s="13">
        <f t="shared" si="113"/>
        <v>24863</v>
      </c>
      <c r="BL120" s="13"/>
      <c r="BM120" s="13">
        <f t="shared" si="114"/>
        <v>57.412000000000006</v>
      </c>
      <c r="BN120" s="13">
        <f t="shared" si="115"/>
        <v>24863</v>
      </c>
      <c r="BO120" s="13"/>
      <c r="BP120" s="13"/>
      <c r="BQ120" s="10"/>
      <c r="BR120" s="10">
        <f t="shared" si="122"/>
        <v>-31.799999999999997</v>
      </c>
      <c r="BS120">
        <v>9200</v>
      </c>
      <c r="BT120" s="13"/>
      <c r="BV120" s="25">
        <f t="shared" si="84"/>
        <v>298.44828149440576</v>
      </c>
      <c r="BW120">
        <v>9200</v>
      </c>
      <c r="BX120" s="13"/>
      <c r="BZ120" s="10">
        <f t="shared" si="85"/>
        <v>-62</v>
      </c>
      <c r="CA120" s="13">
        <f t="shared" si="86"/>
        <v>25</v>
      </c>
      <c r="CB120" s="9">
        <f t="shared" si="87"/>
        <v>-92.5</v>
      </c>
      <c r="CC120" s="13">
        <f t="shared" si="88"/>
        <v>25</v>
      </c>
      <c r="CD120">
        <f t="shared" si="116"/>
        <v>24863</v>
      </c>
      <c r="CE120" s="13">
        <f t="shared" si="117"/>
        <v>25</v>
      </c>
      <c r="CF120" s="13"/>
      <c r="CV120" s="9">
        <f t="shared" si="123"/>
        <v>4.1245755995251709E-2</v>
      </c>
      <c r="CW120" s="9">
        <f t="shared" si="118"/>
        <v>0</v>
      </c>
      <c r="CX120" s="9"/>
      <c r="CY120" s="9">
        <f t="shared" si="119"/>
        <v>4.1245755995251709E-2</v>
      </c>
      <c r="CZ120" s="9">
        <f t="shared" si="120"/>
        <v>0</v>
      </c>
    </row>
    <row r="121" spans="1:104" x14ac:dyDescent="0.25">
      <c r="A121" s="8"/>
      <c r="B121" s="21" t="str">
        <f>'Eingabe Diagramme'!B114</f>
        <v xml:space="preserve">   23.0  25378  -62.6  -92.6      1   0.00    265     19  618.6  618.6  618.6</v>
      </c>
      <c r="C121" s="19"/>
      <c r="D121" s="19"/>
      <c r="E121" s="19"/>
      <c r="F121" s="19"/>
      <c r="G121" s="19"/>
      <c r="H121" s="19"/>
      <c r="I121" s="20"/>
      <c r="J121" s="19"/>
      <c r="K121" s="19"/>
      <c r="L121" s="11" t="str">
        <f t="shared" si="121"/>
        <v xml:space="preserve">   23.0</v>
      </c>
      <c r="M121" s="11" t="str">
        <f t="shared" si="69"/>
        <v>25378</v>
      </c>
      <c r="N121" s="11" t="str">
        <f t="shared" si="70"/>
        <v>-62.6</v>
      </c>
      <c r="O121" s="11" t="str">
        <f t="shared" si="71"/>
        <v>-92.6</v>
      </c>
      <c r="P121" s="11" t="str">
        <f t="shared" si="72"/>
        <v xml:space="preserve">  1</v>
      </c>
      <c r="Q121" s="11" t="str">
        <f t="shared" si="73"/>
        <v xml:space="preserve"> 0.00</v>
      </c>
      <c r="R121" s="11" t="str">
        <f t="shared" si="74"/>
        <v>265</v>
      </c>
      <c r="S121" s="11" t="str">
        <f t="shared" si="75"/>
        <v xml:space="preserve"> 19</v>
      </c>
      <c r="T121" s="11" t="str">
        <f t="shared" si="89"/>
        <v>618.6</v>
      </c>
      <c r="U121" s="11" t="str">
        <f t="shared" si="90"/>
        <v>618.6</v>
      </c>
      <c r="V121" s="11" t="str">
        <f t="shared" si="91"/>
        <v>618.6</v>
      </c>
      <c r="W121" s="11"/>
      <c r="Y121" s="13">
        <f t="shared" si="76"/>
        <v>23</v>
      </c>
      <c r="Z121" s="13">
        <f t="shared" si="77"/>
        <v>25378</v>
      </c>
      <c r="AA121" s="10">
        <f t="shared" si="78"/>
        <v>-62.6</v>
      </c>
      <c r="AB121" s="10">
        <f t="shared" si="79"/>
        <v>-92.6</v>
      </c>
      <c r="AC121" s="13">
        <f t="shared" si="80"/>
        <v>1</v>
      </c>
      <c r="AD121" s="9">
        <f t="shared" si="81"/>
        <v>0</v>
      </c>
      <c r="AE121" s="13">
        <f t="shared" si="82"/>
        <v>265</v>
      </c>
      <c r="AF121" s="13">
        <f t="shared" si="83"/>
        <v>19</v>
      </c>
      <c r="AG121" s="27">
        <f t="shared" si="92"/>
        <v>35.188000000000002</v>
      </c>
      <c r="AH121" s="29">
        <f t="shared" si="93"/>
        <v>618.6</v>
      </c>
      <c r="AI121" s="29">
        <f t="shared" si="94"/>
        <v>618.6</v>
      </c>
      <c r="AJ121" s="29">
        <f t="shared" si="95"/>
        <v>618.6</v>
      </c>
      <c r="AK121" s="27">
        <f t="shared" si="96"/>
        <v>345.45000000000005</v>
      </c>
      <c r="AL121" s="27">
        <f t="shared" si="97"/>
        <v>345.45000000000005</v>
      </c>
      <c r="AM121" s="27">
        <f t="shared" si="98"/>
        <v>345.45000000000005</v>
      </c>
      <c r="AP121" s="10">
        <f t="shared" si="99"/>
        <v>-92.6</v>
      </c>
      <c r="AQ121" s="13">
        <f t="shared" si="100"/>
        <v>25378</v>
      </c>
      <c r="AR121" s="10">
        <f t="shared" si="101"/>
        <v>-62.6</v>
      </c>
      <c r="AS121" s="13">
        <f t="shared" si="102"/>
        <v>25378</v>
      </c>
      <c r="AV121" s="13">
        <f t="shared" si="103"/>
        <v>23</v>
      </c>
      <c r="AW121" s="13">
        <f t="shared" si="104"/>
        <v>25378</v>
      </c>
      <c r="AY121" s="13">
        <f t="shared" si="105"/>
        <v>1</v>
      </c>
      <c r="AZ121" s="13">
        <f t="shared" si="106"/>
        <v>25378</v>
      </c>
      <c r="BA121" s="13"/>
      <c r="BB121" s="13"/>
      <c r="BC121" s="10">
        <f t="shared" si="107"/>
        <v>29.999999999999993</v>
      </c>
      <c r="BD121" s="10">
        <f t="shared" si="108"/>
        <v>29.999999999999993</v>
      </c>
      <c r="BE121" s="13">
        <f t="shared" si="109"/>
        <v>25378</v>
      </c>
      <c r="BG121" s="9">
        <f t="shared" si="110"/>
        <v>0</v>
      </c>
      <c r="BH121" s="13">
        <f t="shared" si="111"/>
        <v>25378</v>
      </c>
      <c r="BJ121" s="13">
        <f t="shared" si="112"/>
        <v>265</v>
      </c>
      <c r="BK121" s="13">
        <f t="shared" si="113"/>
        <v>25378</v>
      </c>
      <c r="BL121" s="13"/>
      <c r="BM121" s="13">
        <f t="shared" si="114"/>
        <v>35.188000000000002</v>
      </c>
      <c r="BN121" s="13">
        <f t="shared" si="115"/>
        <v>25378</v>
      </c>
      <c r="BO121" s="13"/>
      <c r="BP121" s="13"/>
      <c r="BQ121" s="10"/>
      <c r="BR121" s="10">
        <f t="shared" si="122"/>
        <v>-32.449999999999996</v>
      </c>
      <c r="BS121">
        <v>9300</v>
      </c>
      <c r="BT121" s="13"/>
      <c r="BV121" s="25">
        <f t="shared" si="84"/>
        <v>294.01092579500073</v>
      </c>
      <c r="BW121">
        <v>9300</v>
      </c>
      <c r="BX121" s="13"/>
      <c r="BZ121" s="10">
        <f t="shared" si="85"/>
        <v>-62.6</v>
      </c>
      <c r="CA121" s="13">
        <f t="shared" si="86"/>
        <v>23</v>
      </c>
      <c r="CB121" s="9">
        <f t="shared" si="87"/>
        <v>-92.6</v>
      </c>
      <c r="CC121" s="13">
        <f t="shared" si="88"/>
        <v>23</v>
      </c>
      <c r="CD121">
        <f t="shared" si="116"/>
        <v>25378</v>
      </c>
      <c r="CE121" s="13">
        <f t="shared" si="117"/>
        <v>23</v>
      </c>
      <c r="CF121" s="13"/>
      <c r="CV121" s="9">
        <f t="shared" si="123"/>
        <v>3.8054229722752818E-2</v>
      </c>
      <c r="CW121" s="9">
        <f t="shared" si="118"/>
        <v>0</v>
      </c>
      <c r="CX121" s="9"/>
      <c r="CY121" s="9">
        <f t="shared" si="119"/>
        <v>3.8054229722752818E-2</v>
      </c>
      <c r="CZ121" s="9">
        <f t="shared" si="120"/>
        <v>0</v>
      </c>
    </row>
    <row r="122" spans="1:104" x14ac:dyDescent="0.25">
      <c r="A122" s="8"/>
      <c r="B122" s="21" t="str">
        <f>'Eingabe Diagramme'!B115</f>
        <v xml:space="preserve">   22.0  25652  -63.0  -92.6      1   0.00    300     16  625.5  625.5  625.5</v>
      </c>
      <c r="C122" s="19"/>
      <c r="D122" s="19"/>
      <c r="E122" s="19"/>
      <c r="F122" s="19"/>
      <c r="G122" s="19"/>
      <c r="H122" s="19"/>
      <c r="I122" s="20"/>
      <c r="J122" s="19"/>
      <c r="K122" s="19"/>
      <c r="L122" s="11" t="str">
        <f t="shared" si="121"/>
        <v xml:space="preserve">   22.0</v>
      </c>
      <c r="M122" s="11" t="str">
        <f t="shared" si="69"/>
        <v>25652</v>
      </c>
      <c r="N122" s="11" t="str">
        <f t="shared" si="70"/>
        <v>-63.0</v>
      </c>
      <c r="O122" s="11" t="str">
        <f t="shared" si="71"/>
        <v>-92.6</v>
      </c>
      <c r="P122" s="11" t="str">
        <f t="shared" si="72"/>
        <v xml:space="preserve">  1</v>
      </c>
      <c r="Q122" s="11" t="str">
        <f t="shared" si="73"/>
        <v xml:space="preserve"> 0.00</v>
      </c>
      <c r="R122" s="11" t="str">
        <f t="shared" si="74"/>
        <v>300</v>
      </c>
      <c r="S122" s="11" t="str">
        <f t="shared" si="75"/>
        <v xml:space="preserve"> 16</v>
      </c>
      <c r="T122" s="11" t="str">
        <f t="shared" si="89"/>
        <v>625.5</v>
      </c>
      <c r="U122" s="11" t="str">
        <f t="shared" si="90"/>
        <v>625.5</v>
      </c>
      <c r="V122" s="11" t="str">
        <f t="shared" si="91"/>
        <v>625.5</v>
      </c>
      <c r="W122" s="11"/>
      <c r="Y122" s="13">
        <f t="shared" si="76"/>
        <v>22</v>
      </c>
      <c r="Z122" s="13">
        <f t="shared" si="77"/>
        <v>25652</v>
      </c>
      <c r="AA122" s="10">
        <f t="shared" si="78"/>
        <v>-63</v>
      </c>
      <c r="AB122" s="10">
        <f t="shared" si="79"/>
        <v>-92.6</v>
      </c>
      <c r="AC122" s="13">
        <f t="shared" si="80"/>
        <v>1</v>
      </c>
      <c r="AD122" s="9">
        <f t="shared" si="81"/>
        <v>0</v>
      </c>
      <c r="AE122" s="13">
        <f t="shared" si="82"/>
        <v>300</v>
      </c>
      <c r="AF122" s="13">
        <f t="shared" si="83"/>
        <v>16</v>
      </c>
      <c r="AG122" s="27">
        <f t="shared" si="92"/>
        <v>29.632000000000001</v>
      </c>
      <c r="AH122" s="29">
        <f t="shared" si="93"/>
        <v>625.5</v>
      </c>
      <c r="AI122" s="29">
        <f t="shared" si="94"/>
        <v>625.5</v>
      </c>
      <c r="AJ122" s="29">
        <f t="shared" si="95"/>
        <v>625.5</v>
      </c>
      <c r="AK122" s="27">
        <f t="shared" si="96"/>
        <v>352.35</v>
      </c>
      <c r="AL122" s="27">
        <f t="shared" si="97"/>
        <v>352.35</v>
      </c>
      <c r="AM122" s="27">
        <f t="shared" si="98"/>
        <v>352.35</v>
      </c>
      <c r="AP122" s="10">
        <f t="shared" si="99"/>
        <v>-92.6</v>
      </c>
      <c r="AQ122" s="13">
        <f t="shared" si="100"/>
        <v>25652</v>
      </c>
      <c r="AR122" s="10">
        <f t="shared" si="101"/>
        <v>-63</v>
      </c>
      <c r="AS122" s="13">
        <f t="shared" si="102"/>
        <v>25652</v>
      </c>
      <c r="AV122" s="13">
        <f t="shared" si="103"/>
        <v>22</v>
      </c>
      <c r="AW122" s="13">
        <f t="shared" si="104"/>
        <v>25652</v>
      </c>
      <c r="AY122" s="13">
        <f t="shared" si="105"/>
        <v>1</v>
      </c>
      <c r="AZ122" s="13">
        <f t="shared" si="106"/>
        <v>25652</v>
      </c>
      <c r="BA122" s="13"/>
      <c r="BB122" s="13"/>
      <c r="BC122" s="10">
        <f t="shared" si="107"/>
        <v>29.599999999999994</v>
      </c>
      <c r="BD122" s="10">
        <f t="shared" si="108"/>
        <v>29.599999999999994</v>
      </c>
      <c r="BE122" s="13">
        <f t="shared" si="109"/>
        <v>25652</v>
      </c>
      <c r="BG122" s="9">
        <f t="shared" si="110"/>
        <v>0</v>
      </c>
      <c r="BH122" s="13">
        <f t="shared" si="111"/>
        <v>25652</v>
      </c>
      <c r="BJ122" s="13">
        <f t="shared" si="112"/>
        <v>300</v>
      </c>
      <c r="BK122" s="13">
        <f t="shared" si="113"/>
        <v>25652</v>
      </c>
      <c r="BL122" s="13"/>
      <c r="BM122" s="13">
        <f t="shared" si="114"/>
        <v>29.632000000000001</v>
      </c>
      <c r="BN122" s="13">
        <f t="shared" si="115"/>
        <v>25652</v>
      </c>
      <c r="BO122" s="13"/>
      <c r="BP122" s="13"/>
      <c r="BQ122" s="10"/>
      <c r="BR122" s="10">
        <f t="shared" si="122"/>
        <v>-33.099999999999994</v>
      </c>
      <c r="BS122">
        <v>9400</v>
      </c>
      <c r="BT122" s="13"/>
      <c r="BV122" s="25">
        <f t="shared" si="84"/>
        <v>289.62714218330063</v>
      </c>
      <c r="BW122">
        <v>9400</v>
      </c>
      <c r="BX122" s="13"/>
      <c r="BZ122" s="10">
        <f t="shared" si="85"/>
        <v>-63</v>
      </c>
      <c r="CA122" s="13">
        <f t="shared" si="86"/>
        <v>22</v>
      </c>
      <c r="CB122" s="9">
        <f t="shared" si="87"/>
        <v>-92.6</v>
      </c>
      <c r="CC122" s="13">
        <f t="shared" si="88"/>
        <v>22</v>
      </c>
      <c r="CD122">
        <f t="shared" si="116"/>
        <v>25652</v>
      </c>
      <c r="CE122" s="13">
        <f t="shared" si="117"/>
        <v>22</v>
      </c>
      <c r="CF122" s="13"/>
      <c r="CV122" s="9">
        <f t="shared" si="123"/>
        <v>3.6468981265713588E-2</v>
      </c>
      <c r="CW122" s="9">
        <f t="shared" si="118"/>
        <v>0</v>
      </c>
      <c r="CX122" s="9"/>
      <c r="CY122" s="9">
        <f t="shared" si="119"/>
        <v>3.6468981265713588E-2</v>
      </c>
      <c r="CZ122" s="9">
        <f t="shared" si="120"/>
        <v>0</v>
      </c>
    </row>
    <row r="123" spans="1:104" x14ac:dyDescent="0.25">
      <c r="A123" s="8"/>
      <c r="B123" s="21" t="str">
        <f>'Eingabe Diagramme'!B116</f>
        <v xml:space="preserve">   20.0  26240  -63.7  -92.7      1   0.00    290      8  640.5  640.5  640.5</v>
      </c>
      <c r="C123" s="19"/>
      <c r="D123" s="19"/>
      <c r="E123" s="19"/>
      <c r="F123" s="19"/>
      <c r="G123" s="19"/>
      <c r="H123" s="19"/>
      <c r="I123" s="20"/>
      <c r="J123" s="19"/>
      <c r="K123" s="19"/>
      <c r="L123" s="11" t="str">
        <f t="shared" si="121"/>
        <v xml:space="preserve">   20.0</v>
      </c>
      <c r="M123" s="11" t="str">
        <f t="shared" si="69"/>
        <v>26240</v>
      </c>
      <c r="N123" s="11" t="str">
        <f t="shared" si="70"/>
        <v>-63.7</v>
      </c>
      <c r="O123" s="11" t="str">
        <f t="shared" si="71"/>
        <v>-92.7</v>
      </c>
      <c r="P123" s="11" t="str">
        <f t="shared" si="72"/>
        <v xml:space="preserve">  1</v>
      </c>
      <c r="Q123" s="11" t="str">
        <f t="shared" si="73"/>
        <v xml:space="preserve"> 0.00</v>
      </c>
      <c r="R123" s="11" t="str">
        <f t="shared" si="74"/>
        <v>290</v>
      </c>
      <c r="S123" s="11" t="str">
        <f t="shared" si="75"/>
        <v xml:space="preserve">  8</v>
      </c>
      <c r="T123" s="11" t="str">
        <f t="shared" si="89"/>
        <v>640.5</v>
      </c>
      <c r="U123" s="11" t="str">
        <f t="shared" si="90"/>
        <v>640.5</v>
      </c>
      <c r="V123" s="11" t="str">
        <f t="shared" si="91"/>
        <v>640.5</v>
      </c>
      <c r="W123" s="11"/>
      <c r="Y123" s="13">
        <f t="shared" si="76"/>
        <v>20</v>
      </c>
      <c r="Z123" s="13">
        <f t="shared" si="77"/>
        <v>26240</v>
      </c>
      <c r="AA123" s="10">
        <f t="shared" si="78"/>
        <v>-63.7</v>
      </c>
      <c r="AB123" s="10">
        <f t="shared" si="79"/>
        <v>-92.7</v>
      </c>
      <c r="AC123" s="13">
        <f t="shared" si="80"/>
        <v>1</v>
      </c>
      <c r="AD123" s="9">
        <f t="shared" si="81"/>
        <v>0</v>
      </c>
      <c r="AE123" s="13">
        <f t="shared" si="82"/>
        <v>290</v>
      </c>
      <c r="AF123" s="13">
        <f t="shared" si="83"/>
        <v>8</v>
      </c>
      <c r="AG123" s="27">
        <f t="shared" si="92"/>
        <v>14.816000000000001</v>
      </c>
      <c r="AH123" s="29">
        <f t="shared" si="93"/>
        <v>640.5</v>
      </c>
      <c r="AI123" s="29">
        <f t="shared" si="94"/>
        <v>640.5</v>
      </c>
      <c r="AJ123" s="29">
        <f t="shared" si="95"/>
        <v>640.5</v>
      </c>
      <c r="AK123" s="27">
        <f t="shared" si="96"/>
        <v>367.35</v>
      </c>
      <c r="AL123" s="27">
        <f t="shared" si="97"/>
        <v>367.35</v>
      </c>
      <c r="AM123" s="27">
        <f t="shared" si="98"/>
        <v>367.35</v>
      </c>
      <c r="AP123" s="10">
        <f t="shared" si="99"/>
        <v>-92.7</v>
      </c>
      <c r="AQ123" s="13">
        <f t="shared" si="100"/>
        <v>26240</v>
      </c>
      <c r="AR123" s="10">
        <f t="shared" si="101"/>
        <v>-63.7</v>
      </c>
      <c r="AS123" s="13">
        <f t="shared" si="102"/>
        <v>26240</v>
      </c>
      <c r="AV123" s="13">
        <f t="shared" si="103"/>
        <v>20</v>
      </c>
      <c r="AW123" s="13">
        <f t="shared" si="104"/>
        <v>26240</v>
      </c>
      <c r="AY123" s="13">
        <f t="shared" si="105"/>
        <v>1</v>
      </c>
      <c r="AZ123" s="13">
        <f t="shared" si="106"/>
        <v>26240</v>
      </c>
      <c r="BA123" s="13"/>
      <c r="BB123" s="13"/>
      <c r="BC123" s="10">
        <f t="shared" si="107"/>
        <v>29</v>
      </c>
      <c r="BD123" s="10">
        <f t="shared" si="108"/>
        <v>29</v>
      </c>
      <c r="BE123" s="13">
        <f t="shared" si="109"/>
        <v>26240</v>
      </c>
      <c r="BG123" s="9">
        <f t="shared" si="110"/>
        <v>0</v>
      </c>
      <c r="BH123" s="13">
        <f t="shared" si="111"/>
        <v>26240</v>
      </c>
      <c r="BJ123" s="13">
        <f t="shared" si="112"/>
        <v>290</v>
      </c>
      <c r="BK123" s="13">
        <f t="shared" si="113"/>
        <v>26240</v>
      </c>
      <c r="BL123" s="13"/>
      <c r="BM123" s="13">
        <f t="shared" si="114"/>
        <v>14.816000000000001</v>
      </c>
      <c r="BN123" s="13">
        <f t="shared" si="115"/>
        <v>26240</v>
      </c>
      <c r="BO123" s="13"/>
      <c r="BP123" s="13"/>
      <c r="BQ123" s="10"/>
      <c r="BR123" s="10">
        <f t="shared" si="122"/>
        <v>-33.75</v>
      </c>
      <c r="BS123">
        <v>9500</v>
      </c>
      <c r="BT123" s="13"/>
      <c r="BV123" s="25">
        <f t="shared" si="84"/>
        <v>285.29643447826817</v>
      </c>
      <c r="BW123">
        <v>9500</v>
      </c>
      <c r="BX123" s="13"/>
      <c r="BZ123" s="10">
        <f t="shared" si="85"/>
        <v>-63.7</v>
      </c>
      <c r="CA123" s="13">
        <f t="shared" si="86"/>
        <v>20</v>
      </c>
      <c r="CB123" s="9">
        <f t="shared" si="87"/>
        <v>-92.7</v>
      </c>
      <c r="CC123" s="13">
        <f t="shared" si="88"/>
        <v>20</v>
      </c>
      <c r="CD123">
        <f t="shared" si="116"/>
        <v>26240</v>
      </c>
      <c r="CE123" s="13">
        <f t="shared" si="117"/>
        <v>20</v>
      </c>
      <c r="CF123" s="13"/>
      <c r="CR123" s="14"/>
      <c r="CV123" s="9">
        <f t="shared" si="123"/>
        <v>3.3264421593305886E-2</v>
      </c>
      <c r="CW123" s="9">
        <f t="shared" si="118"/>
        <v>0</v>
      </c>
      <c r="CX123" s="9"/>
      <c r="CY123" s="9">
        <f t="shared" si="119"/>
        <v>3.3264421593305886E-2</v>
      </c>
      <c r="CZ123" s="9">
        <f t="shared" si="120"/>
        <v>0</v>
      </c>
    </row>
    <row r="124" spans="1:104" x14ac:dyDescent="0.25">
      <c r="A124" s="6"/>
      <c r="B124" s="21" t="str">
        <f>'Eingabe Diagramme'!B117</f>
        <v xml:space="preserve">   19.0  26553  -65.0  -93.3      1   0.00    355     15  646.0  646.0  646.0</v>
      </c>
      <c r="C124" s="19"/>
      <c r="D124" s="19"/>
      <c r="E124" s="19"/>
      <c r="F124" s="19"/>
      <c r="G124" s="19"/>
      <c r="H124" s="19"/>
      <c r="I124" s="20"/>
      <c r="J124" s="19"/>
      <c r="K124" s="19"/>
      <c r="L124" s="11" t="str">
        <f t="shared" si="121"/>
        <v xml:space="preserve">   19.0</v>
      </c>
      <c r="M124" s="11" t="str">
        <f t="shared" si="69"/>
        <v>26553</v>
      </c>
      <c r="N124" s="11" t="str">
        <f t="shared" si="70"/>
        <v>-65.0</v>
      </c>
      <c r="O124" s="11" t="str">
        <f t="shared" si="71"/>
        <v>-93.3</v>
      </c>
      <c r="P124" s="11" t="str">
        <f t="shared" si="72"/>
        <v xml:space="preserve">  1</v>
      </c>
      <c r="Q124" s="11" t="str">
        <f t="shared" si="73"/>
        <v xml:space="preserve"> 0.00</v>
      </c>
      <c r="R124" s="11" t="str">
        <f t="shared" si="74"/>
        <v>355</v>
      </c>
      <c r="S124" s="11" t="str">
        <f t="shared" si="75"/>
        <v xml:space="preserve"> 15</v>
      </c>
      <c r="T124" s="11" t="str">
        <f t="shared" si="89"/>
        <v>646.0</v>
      </c>
      <c r="U124" s="11" t="str">
        <f t="shared" si="90"/>
        <v>646.0</v>
      </c>
      <c r="V124" s="11" t="str">
        <f t="shared" si="91"/>
        <v>646.0</v>
      </c>
      <c r="W124" s="11"/>
      <c r="Y124" s="13">
        <f t="shared" ref="Y124:Y159" si="124">SUBSTITUTE(L124,".",",")*1</f>
        <v>19</v>
      </c>
      <c r="Z124" s="13">
        <f t="shared" ref="Z124:Z159" si="125">SUBSTITUTE(M124,".",",")*1</f>
        <v>26553</v>
      </c>
      <c r="AA124" s="10">
        <f t="shared" ref="AA124:AA159" si="126">SUBSTITUTE(N124,".",",")*1</f>
        <v>-65</v>
      </c>
      <c r="AB124" s="10">
        <f t="shared" ref="AB124:AB159" si="127">SUBSTITUTE(O124,".",",")*1</f>
        <v>-93.3</v>
      </c>
      <c r="AC124" s="13">
        <f t="shared" ref="AC124:AC159" si="128">SUBSTITUTE(P124,".",",")*1</f>
        <v>1</v>
      </c>
      <c r="AD124" s="9">
        <f t="shared" ref="AD124:AD159" si="129">SUBSTITUTE(Q124,".",",")*1</f>
        <v>0</v>
      </c>
      <c r="AE124" s="13">
        <f t="shared" ref="AE124:AE159" si="130">SUBSTITUTE(R124,".",",")*1</f>
        <v>355</v>
      </c>
      <c r="AF124" s="13">
        <f t="shared" ref="AF124:AF159" si="131">SUBSTITUTE(S124,".",",")*1</f>
        <v>15</v>
      </c>
      <c r="AG124" s="27">
        <f t="shared" si="92"/>
        <v>27.78</v>
      </c>
      <c r="AH124" s="29">
        <f t="shared" si="93"/>
        <v>646</v>
      </c>
      <c r="AI124" s="29">
        <f t="shared" si="94"/>
        <v>646</v>
      </c>
      <c r="AJ124" s="29">
        <f t="shared" si="95"/>
        <v>646</v>
      </c>
      <c r="AK124" s="27">
        <f t="shared" si="96"/>
        <v>372.85</v>
      </c>
      <c r="AL124" s="27">
        <f t="shared" si="97"/>
        <v>372.85</v>
      </c>
      <c r="AM124" s="27">
        <f t="shared" si="98"/>
        <v>372.85</v>
      </c>
      <c r="AP124" s="10">
        <f t="shared" si="99"/>
        <v>-93.3</v>
      </c>
      <c r="AQ124" s="13">
        <f t="shared" si="100"/>
        <v>26553</v>
      </c>
      <c r="AR124" s="10">
        <f t="shared" si="101"/>
        <v>-65</v>
      </c>
      <c r="AS124" s="13">
        <f t="shared" si="102"/>
        <v>26553</v>
      </c>
      <c r="AV124" s="13">
        <f t="shared" si="103"/>
        <v>19</v>
      </c>
      <c r="AW124" s="13">
        <f t="shared" si="104"/>
        <v>26553</v>
      </c>
      <c r="AY124" s="13">
        <f t="shared" si="105"/>
        <v>1</v>
      </c>
      <c r="AZ124" s="13">
        <f t="shared" si="106"/>
        <v>26553</v>
      </c>
      <c r="BA124" s="13"/>
      <c r="BB124" s="13"/>
      <c r="BC124" s="10">
        <f t="shared" si="107"/>
        <v>28.299999999999997</v>
      </c>
      <c r="BD124" s="10">
        <f t="shared" si="108"/>
        <v>28.299999999999997</v>
      </c>
      <c r="BE124" s="13">
        <f t="shared" si="109"/>
        <v>26553</v>
      </c>
      <c r="BG124" s="9">
        <f t="shared" si="110"/>
        <v>0</v>
      </c>
      <c r="BH124" s="13">
        <f t="shared" si="111"/>
        <v>26553</v>
      </c>
      <c r="BJ124" s="13">
        <f t="shared" si="112"/>
        <v>355</v>
      </c>
      <c r="BK124" s="13">
        <f t="shared" si="113"/>
        <v>26553</v>
      </c>
      <c r="BL124" s="13"/>
      <c r="BM124" s="13">
        <f t="shared" si="114"/>
        <v>27.78</v>
      </c>
      <c r="BN124" s="13">
        <f t="shared" si="115"/>
        <v>26553</v>
      </c>
      <c r="BO124" s="13"/>
      <c r="BP124" s="13"/>
      <c r="BQ124" s="10"/>
      <c r="BR124" s="10">
        <f t="shared" si="122"/>
        <v>-34.4</v>
      </c>
      <c r="BS124">
        <v>9600</v>
      </c>
      <c r="BT124" s="13"/>
      <c r="BV124" s="25">
        <f t="shared" ref="BV124:BV138" si="132">1013.25*(1-(0.0065*BW124/288.15))^5.255</f>
        <v>281.0183096917026</v>
      </c>
      <c r="BW124">
        <v>9600</v>
      </c>
      <c r="BX124" s="13"/>
      <c r="BZ124" s="10">
        <f t="shared" ref="BZ124:BZ159" si="133">IFERROR(AA124,-999)</f>
        <v>-65</v>
      </c>
      <c r="CA124" s="13">
        <f t="shared" ref="CA124:CA159" si="134">IFERROR(Y124,-999)</f>
        <v>19</v>
      </c>
      <c r="CB124" s="9">
        <f t="shared" ref="CB124:CB159" si="135">IFERROR(AB124,-999)</f>
        <v>-93.3</v>
      </c>
      <c r="CC124" s="13">
        <f t="shared" ref="CC124:CC159" si="136">IFERROR(Y124,-999)</f>
        <v>19</v>
      </c>
      <c r="CD124">
        <f t="shared" si="116"/>
        <v>26553</v>
      </c>
      <c r="CE124" s="13">
        <f t="shared" si="117"/>
        <v>19</v>
      </c>
      <c r="CF124" s="13"/>
      <c r="CR124" t="str">
        <f>IFERROR(#REF!,"")</f>
        <v/>
      </c>
      <c r="CV124" s="9">
        <f t="shared" si="123"/>
        <v>3.1798565686197565E-2</v>
      </c>
      <c r="CW124" s="9">
        <f t="shared" si="118"/>
        <v>0</v>
      </c>
      <c r="CX124" s="9"/>
      <c r="CY124" s="9">
        <f t="shared" si="119"/>
        <v>3.1798565686197565E-2</v>
      </c>
      <c r="CZ124" s="9">
        <f t="shared" si="120"/>
        <v>0</v>
      </c>
    </row>
    <row r="125" spans="1:104" x14ac:dyDescent="0.25">
      <c r="A125" s="6"/>
      <c r="B125" s="21" t="str">
        <f>'Eingabe Diagramme'!B118</f>
        <v xml:space="preserve">   18.6  26682  -65.5  -93.5      1   0.00      7     19  648.3  648.3  648.3</v>
      </c>
      <c r="C125" s="19"/>
      <c r="D125" s="19"/>
      <c r="E125" s="19"/>
      <c r="F125" s="19"/>
      <c r="G125" s="19"/>
      <c r="H125" s="19"/>
      <c r="I125" s="20"/>
      <c r="J125" s="19"/>
      <c r="K125" s="19"/>
      <c r="L125" s="11" t="str">
        <f t="shared" si="121"/>
        <v xml:space="preserve">   18.6</v>
      </c>
      <c r="M125" s="11" t="str">
        <f t="shared" si="69"/>
        <v>26682</v>
      </c>
      <c r="N125" s="11" t="str">
        <f t="shared" si="70"/>
        <v>-65.5</v>
      </c>
      <c r="O125" s="11" t="str">
        <f t="shared" si="71"/>
        <v>-93.5</v>
      </c>
      <c r="P125" s="11" t="str">
        <f t="shared" si="72"/>
        <v xml:space="preserve">  1</v>
      </c>
      <c r="Q125" s="11" t="str">
        <f t="shared" si="73"/>
        <v xml:space="preserve"> 0.00</v>
      </c>
      <c r="R125" s="11" t="str">
        <f t="shared" si="74"/>
        <v xml:space="preserve">  7</v>
      </c>
      <c r="S125" s="11" t="str">
        <f t="shared" si="75"/>
        <v xml:space="preserve"> 19</v>
      </c>
      <c r="T125" s="11" t="str">
        <f t="shared" si="89"/>
        <v>648.3</v>
      </c>
      <c r="U125" s="11" t="str">
        <f t="shared" si="90"/>
        <v>648.3</v>
      </c>
      <c r="V125" s="11" t="str">
        <f t="shared" si="91"/>
        <v>648.3</v>
      </c>
      <c r="W125" s="11"/>
      <c r="Y125" s="13">
        <f t="shared" si="124"/>
        <v>18.600000000000001</v>
      </c>
      <c r="Z125" s="13">
        <f t="shared" si="125"/>
        <v>26682</v>
      </c>
      <c r="AA125" s="10">
        <f t="shared" si="126"/>
        <v>-65.5</v>
      </c>
      <c r="AB125" s="10">
        <f t="shared" si="127"/>
        <v>-93.5</v>
      </c>
      <c r="AC125" s="13">
        <f t="shared" si="128"/>
        <v>1</v>
      </c>
      <c r="AD125" s="9">
        <f t="shared" si="129"/>
        <v>0</v>
      </c>
      <c r="AE125" s="13">
        <f t="shared" si="130"/>
        <v>7</v>
      </c>
      <c r="AF125" s="13">
        <f t="shared" si="131"/>
        <v>19</v>
      </c>
      <c r="AG125" s="27">
        <f t="shared" si="92"/>
        <v>35.188000000000002</v>
      </c>
      <c r="AH125" s="29">
        <f t="shared" si="93"/>
        <v>648.29999999999995</v>
      </c>
      <c r="AI125" s="29">
        <f t="shared" si="94"/>
        <v>648.29999999999995</v>
      </c>
      <c r="AJ125" s="29">
        <f t="shared" si="95"/>
        <v>648.29999999999995</v>
      </c>
      <c r="AK125" s="27">
        <f t="shared" si="96"/>
        <v>375.15</v>
      </c>
      <c r="AL125" s="27">
        <f t="shared" si="97"/>
        <v>375.15</v>
      </c>
      <c r="AM125" s="27">
        <f t="shared" si="98"/>
        <v>375.15</v>
      </c>
      <c r="AP125" s="10">
        <f t="shared" si="99"/>
        <v>-93.5</v>
      </c>
      <c r="AQ125" s="13">
        <f t="shared" si="100"/>
        <v>26682</v>
      </c>
      <c r="AR125" s="10">
        <f t="shared" si="101"/>
        <v>-65.5</v>
      </c>
      <c r="AS125" s="13">
        <f t="shared" si="102"/>
        <v>26682</v>
      </c>
      <c r="AV125" s="13">
        <f t="shared" si="103"/>
        <v>18.600000000000001</v>
      </c>
      <c r="AW125" s="13">
        <f t="shared" si="104"/>
        <v>26682</v>
      </c>
      <c r="AY125" s="13">
        <f t="shared" si="105"/>
        <v>1</v>
      </c>
      <c r="AZ125" s="13">
        <f t="shared" si="106"/>
        <v>26682</v>
      </c>
      <c r="BA125" s="13"/>
      <c r="BB125" s="13"/>
      <c r="BC125" s="10">
        <f t="shared" si="107"/>
        <v>28</v>
      </c>
      <c r="BD125" s="10">
        <f t="shared" si="108"/>
        <v>28</v>
      </c>
      <c r="BE125" s="13">
        <f t="shared" si="109"/>
        <v>26682</v>
      </c>
      <c r="BG125" s="9">
        <f t="shared" si="110"/>
        <v>0</v>
      </c>
      <c r="BH125" s="13">
        <f t="shared" si="111"/>
        <v>26682</v>
      </c>
      <c r="BJ125" s="13">
        <f t="shared" si="112"/>
        <v>7</v>
      </c>
      <c r="BK125" s="13">
        <f t="shared" si="113"/>
        <v>26682</v>
      </c>
      <c r="BL125" s="13"/>
      <c r="BM125" s="13">
        <f t="shared" si="114"/>
        <v>35.188000000000002</v>
      </c>
      <c r="BN125" s="13">
        <f t="shared" si="115"/>
        <v>26682</v>
      </c>
      <c r="BO125" s="13"/>
      <c r="BP125" s="13"/>
      <c r="BQ125" s="10"/>
      <c r="BR125" s="10">
        <f t="shared" si="122"/>
        <v>-35.049999999999997</v>
      </c>
      <c r="BS125">
        <v>9700</v>
      </c>
      <c r="BT125" s="13"/>
      <c r="BV125" s="25">
        <f t="shared" si="132"/>
        <v>276.79227801677251</v>
      </c>
      <c r="BW125">
        <v>9700</v>
      </c>
      <c r="BX125" s="13"/>
      <c r="BZ125" s="10">
        <f t="shared" si="133"/>
        <v>-65.5</v>
      </c>
      <c r="CA125" s="13">
        <f t="shared" si="134"/>
        <v>18.600000000000001</v>
      </c>
      <c r="CB125" s="9">
        <f t="shared" si="135"/>
        <v>-93.5</v>
      </c>
      <c r="CC125" s="13">
        <f t="shared" si="136"/>
        <v>18.600000000000001</v>
      </c>
      <c r="CD125">
        <f t="shared" si="116"/>
        <v>26682</v>
      </c>
      <c r="CE125" s="13">
        <f t="shared" si="117"/>
        <v>18.600000000000001</v>
      </c>
      <c r="CF125" s="13"/>
      <c r="CR125" t="str">
        <f>IFERROR(#REF!,"")</f>
        <v/>
      </c>
      <c r="CV125" s="9">
        <f t="shared" si="123"/>
        <v>3.1204077946196316E-2</v>
      </c>
      <c r="CW125" s="9">
        <f t="shared" si="118"/>
        <v>0</v>
      </c>
      <c r="CX125" s="9"/>
      <c r="CY125" s="9">
        <f t="shared" si="119"/>
        <v>3.1204077946196316E-2</v>
      </c>
      <c r="CZ125" s="9">
        <f t="shared" si="120"/>
        <v>0</v>
      </c>
    </row>
    <row r="126" spans="1:104" x14ac:dyDescent="0.25">
      <c r="A126" s="6"/>
      <c r="B126" s="21" t="str">
        <f>'Eingabe Diagramme'!B119</f>
        <v xml:space="preserve">   17.6  27019  -64.1  -94.1      1   0.00     40     30  663.0  663.1  663.0</v>
      </c>
      <c r="C126" s="19"/>
      <c r="D126" s="19"/>
      <c r="E126" s="19"/>
      <c r="F126" s="19"/>
      <c r="G126" s="19"/>
      <c r="H126" s="19"/>
      <c r="I126" s="20"/>
      <c r="J126" s="19"/>
      <c r="K126" s="19"/>
      <c r="L126" s="11" t="str">
        <f t="shared" si="121"/>
        <v xml:space="preserve">   17.6</v>
      </c>
      <c r="M126" s="11" t="str">
        <f t="shared" si="69"/>
        <v>27019</v>
      </c>
      <c r="N126" s="11" t="str">
        <f t="shared" si="70"/>
        <v>-64.1</v>
      </c>
      <c r="O126" s="11" t="str">
        <f t="shared" si="71"/>
        <v>-94.1</v>
      </c>
      <c r="P126" s="11" t="str">
        <f t="shared" si="72"/>
        <v xml:space="preserve">  1</v>
      </c>
      <c r="Q126" s="11" t="str">
        <f t="shared" si="73"/>
        <v xml:space="preserve"> 0.00</v>
      </c>
      <c r="R126" s="11" t="str">
        <f t="shared" si="74"/>
        <v xml:space="preserve"> 40</v>
      </c>
      <c r="S126" s="11" t="str">
        <f t="shared" si="75"/>
        <v xml:space="preserve"> 30</v>
      </c>
      <c r="T126" s="11" t="str">
        <f t="shared" si="89"/>
        <v>663.0</v>
      </c>
      <c r="U126" s="11" t="str">
        <f t="shared" si="90"/>
        <v>663.1</v>
      </c>
      <c r="V126" s="11" t="str">
        <f t="shared" si="91"/>
        <v>663.0</v>
      </c>
      <c r="W126" s="11"/>
      <c r="Y126" s="13">
        <f t="shared" si="124"/>
        <v>17.600000000000001</v>
      </c>
      <c r="Z126" s="13">
        <f t="shared" si="125"/>
        <v>27019</v>
      </c>
      <c r="AA126" s="10">
        <f t="shared" si="126"/>
        <v>-64.099999999999994</v>
      </c>
      <c r="AB126" s="10">
        <f t="shared" si="127"/>
        <v>-94.1</v>
      </c>
      <c r="AC126" s="13">
        <f t="shared" si="128"/>
        <v>1</v>
      </c>
      <c r="AD126" s="9">
        <f t="shared" si="129"/>
        <v>0</v>
      </c>
      <c r="AE126" s="13">
        <f t="shared" si="130"/>
        <v>40</v>
      </c>
      <c r="AF126" s="13">
        <f t="shared" si="131"/>
        <v>30</v>
      </c>
      <c r="AG126" s="27">
        <f t="shared" si="92"/>
        <v>55.56</v>
      </c>
      <c r="AH126" s="29">
        <f t="shared" si="93"/>
        <v>663</v>
      </c>
      <c r="AI126" s="29">
        <f t="shared" si="94"/>
        <v>663.1</v>
      </c>
      <c r="AJ126" s="29">
        <f t="shared" si="95"/>
        <v>663</v>
      </c>
      <c r="AK126" s="27">
        <f t="shared" si="96"/>
        <v>389.85</v>
      </c>
      <c r="AL126" s="27">
        <f t="shared" si="97"/>
        <v>389.95000000000005</v>
      </c>
      <c r="AM126" s="27">
        <f t="shared" si="98"/>
        <v>389.85</v>
      </c>
      <c r="AP126" s="10">
        <f t="shared" si="99"/>
        <v>-94.1</v>
      </c>
      <c r="AQ126" s="13">
        <f t="shared" si="100"/>
        <v>27019</v>
      </c>
      <c r="AR126" s="10">
        <f t="shared" si="101"/>
        <v>-64.099999999999994</v>
      </c>
      <c r="AS126" s="13">
        <f t="shared" si="102"/>
        <v>27019</v>
      </c>
      <c r="AV126" s="13">
        <f t="shared" si="103"/>
        <v>17.600000000000001</v>
      </c>
      <c r="AW126" s="13">
        <f t="shared" si="104"/>
        <v>27019</v>
      </c>
      <c r="AY126" s="13">
        <f t="shared" si="105"/>
        <v>1</v>
      </c>
      <c r="AZ126" s="13">
        <f t="shared" si="106"/>
        <v>27019</v>
      </c>
      <c r="BA126" s="13"/>
      <c r="BB126" s="13"/>
      <c r="BC126" s="10">
        <f t="shared" si="107"/>
        <v>30</v>
      </c>
      <c r="BD126" s="10">
        <f t="shared" si="108"/>
        <v>30</v>
      </c>
      <c r="BE126" s="13">
        <f t="shared" si="109"/>
        <v>27019</v>
      </c>
      <c r="BG126" s="9">
        <f t="shared" si="110"/>
        <v>0</v>
      </c>
      <c r="BH126" s="13">
        <f t="shared" si="111"/>
        <v>27019</v>
      </c>
      <c r="BJ126" s="13">
        <f t="shared" si="112"/>
        <v>40</v>
      </c>
      <c r="BK126" s="13">
        <f t="shared" si="113"/>
        <v>27019</v>
      </c>
      <c r="BL126" s="13"/>
      <c r="BM126" s="13">
        <f t="shared" si="114"/>
        <v>55.56</v>
      </c>
      <c r="BN126" s="13">
        <f t="shared" si="115"/>
        <v>27019</v>
      </c>
      <c r="BO126" s="13"/>
      <c r="BP126" s="13"/>
      <c r="BQ126" s="10"/>
      <c r="BR126" s="10">
        <f t="shared" si="122"/>
        <v>-35.699999999999996</v>
      </c>
      <c r="BS126">
        <v>9800</v>
      </c>
      <c r="BT126" s="13"/>
      <c r="BV126" s="25">
        <f t="shared" si="132"/>
        <v>272.61785281655739</v>
      </c>
      <c r="BW126">
        <v>9800</v>
      </c>
      <c r="BX126" s="13"/>
      <c r="BZ126" s="10">
        <f t="shared" si="133"/>
        <v>-64.099999999999994</v>
      </c>
      <c r="CA126" s="13">
        <f t="shared" si="134"/>
        <v>17.600000000000001</v>
      </c>
      <c r="CB126" s="9">
        <f t="shared" si="135"/>
        <v>-94.1</v>
      </c>
      <c r="CC126" s="13">
        <f t="shared" si="136"/>
        <v>17.600000000000001</v>
      </c>
      <c r="CD126">
        <f t="shared" si="116"/>
        <v>27019</v>
      </c>
      <c r="CE126" s="13">
        <f t="shared" si="117"/>
        <v>17.600000000000001</v>
      </c>
      <c r="CF126" s="13"/>
      <c r="CV126" s="9">
        <f t="shared" si="123"/>
        <v>2.9328701891374164E-2</v>
      </c>
      <c r="CW126" s="9">
        <f t="shared" si="118"/>
        <v>0</v>
      </c>
      <c r="CX126" s="9"/>
      <c r="CY126" s="9">
        <f t="shared" si="119"/>
        <v>2.9328701891374164E-2</v>
      </c>
      <c r="CZ126" s="9">
        <f t="shared" si="120"/>
        <v>0</v>
      </c>
    </row>
    <row r="127" spans="1:104" x14ac:dyDescent="0.25">
      <c r="A127" s="6"/>
      <c r="B127" s="21" t="str">
        <f>'Eingabe Diagramme'!B120</f>
        <v xml:space="preserve">   17.0  27236  -61.3  -93.0      1   0.00     60     37  678.7  678.7  678.7</v>
      </c>
      <c r="C127" s="19"/>
      <c r="D127" s="19"/>
      <c r="E127" s="19"/>
      <c r="F127" s="19"/>
      <c r="G127" s="19"/>
      <c r="H127" s="19"/>
      <c r="I127" s="20"/>
      <c r="J127" s="19"/>
      <c r="K127" s="19"/>
      <c r="L127" s="11" t="str">
        <f t="shared" si="121"/>
        <v xml:space="preserve">   17.0</v>
      </c>
      <c r="M127" s="11" t="str">
        <f t="shared" si="69"/>
        <v>27236</v>
      </c>
      <c r="N127" s="11" t="str">
        <f t="shared" si="70"/>
        <v>-61.3</v>
      </c>
      <c r="O127" s="11" t="str">
        <f t="shared" si="71"/>
        <v>-93.0</v>
      </c>
      <c r="P127" s="11" t="str">
        <f t="shared" si="72"/>
        <v xml:space="preserve">  1</v>
      </c>
      <c r="Q127" s="11" t="str">
        <f t="shared" si="73"/>
        <v xml:space="preserve"> 0.00</v>
      </c>
      <c r="R127" s="11" t="str">
        <f t="shared" si="74"/>
        <v xml:space="preserve"> 60</v>
      </c>
      <c r="S127" s="11" t="str">
        <f t="shared" si="75"/>
        <v xml:space="preserve"> 37</v>
      </c>
      <c r="T127" s="11" t="str">
        <f t="shared" si="89"/>
        <v>678.7</v>
      </c>
      <c r="U127" s="11" t="str">
        <f t="shared" si="90"/>
        <v>678.7</v>
      </c>
      <c r="V127" s="11" t="str">
        <f t="shared" si="91"/>
        <v>678.7</v>
      </c>
      <c r="W127" s="11"/>
      <c r="Y127" s="13">
        <f t="shared" si="124"/>
        <v>17</v>
      </c>
      <c r="Z127" s="13">
        <f t="shared" si="125"/>
        <v>27236</v>
      </c>
      <c r="AA127" s="10">
        <f t="shared" si="126"/>
        <v>-61.3</v>
      </c>
      <c r="AB127" s="10">
        <f t="shared" si="127"/>
        <v>-93</v>
      </c>
      <c r="AC127" s="13">
        <f t="shared" si="128"/>
        <v>1</v>
      </c>
      <c r="AD127" s="9">
        <f t="shared" si="129"/>
        <v>0</v>
      </c>
      <c r="AE127" s="13">
        <f t="shared" si="130"/>
        <v>60</v>
      </c>
      <c r="AF127" s="13">
        <f t="shared" si="131"/>
        <v>37</v>
      </c>
      <c r="AG127" s="27">
        <f t="shared" si="92"/>
        <v>68.524000000000001</v>
      </c>
      <c r="AH127" s="29">
        <f t="shared" si="93"/>
        <v>678.7</v>
      </c>
      <c r="AI127" s="29">
        <f t="shared" si="94"/>
        <v>678.7</v>
      </c>
      <c r="AJ127" s="29">
        <f t="shared" si="95"/>
        <v>678.7</v>
      </c>
      <c r="AK127" s="27">
        <f t="shared" si="96"/>
        <v>405.55000000000007</v>
      </c>
      <c r="AL127" s="27">
        <f t="shared" si="97"/>
        <v>405.55000000000007</v>
      </c>
      <c r="AM127" s="27">
        <f t="shared" si="98"/>
        <v>405.55000000000007</v>
      </c>
      <c r="AP127" s="10">
        <f t="shared" si="99"/>
        <v>-93</v>
      </c>
      <c r="AQ127" s="13">
        <f t="shared" si="100"/>
        <v>27236</v>
      </c>
      <c r="AR127" s="10">
        <f t="shared" si="101"/>
        <v>-61.3</v>
      </c>
      <c r="AS127" s="13">
        <f t="shared" si="102"/>
        <v>27236</v>
      </c>
      <c r="AV127" s="13">
        <f t="shared" si="103"/>
        <v>17</v>
      </c>
      <c r="AW127" s="13">
        <f t="shared" si="104"/>
        <v>27236</v>
      </c>
      <c r="AY127" s="13">
        <f t="shared" si="105"/>
        <v>1</v>
      </c>
      <c r="AZ127" s="13">
        <f t="shared" si="106"/>
        <v>27236</v>
      </c>
      <c r="BA127" s="13"/>
      <c r="BB127" s="13"/>
      <c r="BC127" s="10">
        <f t="shared" si="107"/>
        <v>31.700000000000003</v>
      </c>
      <c r="BD127" s="10">
        <f t="shared" si="108"/>
        <v>31.700000000000003</v>
      </c>
      <c r="BE127" s="13">
        <f t="shared" si="109"/>
        <v>27236</v>
      </c>
      <c r="BG127" s="9">
        <f t="shared" si="110"/>
        <v>0</v>
      </c>
      <c r="BH127" s="13">
        <f t="shared" si="111"/>
        <v>27236</v>
      </c>
      <c r="BJ127" s="13">
        <f t="shared" si="112"/>
        <v>60</v>
      </c>
      <c r="BK127" s="13">
        <f t="shared" si="113"/>
        <v>27236</v>
      </c>
      <c r="BL127" s="13"/>
      <c r="BM127" s="13">
        <f t="shared" si="114"/>
        <v>68.524000000000001</v>
      </c>
      <c r="BN127" s="13">
        <f t="shared" si="115"/>
        <v>27236</v>
      </c>
      <c r="BO127" s="13"/>
      <c r="BP127" s="13"/>
      <c r="BQ127" s="10"/>
      <c r="BR127" s="10">
        <f t="shared" si="122"/>
        <v>-36.349999999999994</v>
      </c>
      <c r="BS127">
        <v>9900</v>
      </c>
      <c r="BT127" s="13"/>
      <c r="BV127" s="25">
        <f t="shared" si="132"/>
        <v>268.49455061259681</v>
      </c>
      <c r="BW127">
        <v>9900</v>
      </c>
      <c r="BX127" s="13"/>
      <c r="BZ127" s="10">
        <f t="shared" si="133"/>
        <v>-61.3</v>
      </c>
      <c r="CA127" s="13">
        <f t="shared" si="134"/>
        <v>17</v>
      </c>
      <c r="CB127" s="9">
        <f t="shared" si="135"/>
        <v>-93</v>
      </c>
      <c r="CC127" s="13">
        <f t="shared" si="136"/>
        <v>17</v>
      </c>
      <c r="CD127">
        <f t="shared" si="116"/>
        <v>27236</v>
      </c>
      <c r="CE127" s="13">
        <f t="shared" si="117"/>
        <v>17</v>
      </c>
      <c r="CF127" s="13"/>
      <c r="CV127" s="9">
        <f t="shared" si="123"/>
        <v>2.7954440110031772E-2</v>
      </c>
      <c r="CW127" s="9">
        <f t="shared" si="118"/>
        <v>5.0852057802917995E-2</v>
      </c>
      <c r="CX127" s="9"/>
      <c r="CY127" s="9">
        <f t="shared" si="119"/>
        <v>2.7954440110031772E-2</v>
      </c>
      <c r="CZ127" s="9">
        <f t="shared" si="120"/>
        <v>5.0852057802917995E-2</v>
      </c>
    </row>
    <row r="128" spans="1:104" x14ac:dyDescent="0.25">
      <c r="A128" s="6"/>
      <c r="B128" s="21" t="str">
        <f>'Eingabe Diagramme'!B121</f>
        <v xml:space="preserve">   16.0  27615  -56.4  -91.1      1   0.01    115     41  706.6  706.6  706.6</v>
      </c>
      <c r="C128" s="19"/>
      <c r="D128" s="19"/>
      <c r="E128" s="19"/>
      <c r="F128" s="19"/>
      <c r="G128" s="19"/>
      <c r="H128" s="19"/>
      <c r="I128" s="20"/>
      <c r="J128" s="19"/>
      <c r="K128" s="19"/>
      <c r="L128" s="11" t="str">
        <f t="shared" si="121"/>
        <v xml:space="preserve">   16.0</v>
      </c>
      <c r="M128" s="11" t="str">
        <f t="shared" si="69"/>
        <v>27615</v>
      </c>
      <c r="N128" s="11" t="str">
        <f t="shared" si="70"/>
        <v>-56.4</v>
      </c>
      <c r="O128" s="11" t="str">
        <f t="shared" si="71"/>
        <v>-91.1</v>
      </c>
      <c r="P128" s="11" t="str">
        <f t="shared" si="72"/>
        <v xml:space="preserve">  1</v>
      </c>
      <c r="Q128" s="11" t="str">
        <f t="shared" si="73"/>
        <v xml:space="preserve"> 0.01</v>
      </c>
      <c r="R128" s="11" t="str">
        <f t="shared" si="74"/>
        <v>115</v>
      </c>
      <c r="S128" s="11" t="str">
        <f t="shared" si="75"/>
        <v xml:space="preserve"> 41</v>
      </c>
      <c r="T128" s="11" t="str">
        <f t="shared" si="89"/>
        <v>706.6</v>
      </c>
      <c r="U128" s="11" t="str">
        <f t="shared" si="90"/>
        <v>706.6</v>
      </c>
      <c r="V128" s="11" t="str">
        <f t="shared" si="91"/>
        <v>706.6</v>
      </c>
      <c r="W128" s="11"/>
      <c r="Y128" s="13">
        <f t="shared" si="124"/>
        <v>16</v>
      </c>
      <c r="Z128" s="13">
        <f t="shared" si="125"/>
        <v>27615</v>
      </c>
      <c r="AA128" s="10">
        <f t="shared" si="126"/>
        <v>-56.4</v>
      </c>
      <c r="AB128" s="10">
        <f t="shared" si="127"/>
        <v>-91.1</v>
      </c>
      <c r="AC128" s="13">
        <f t="shared" si="128"/>
        <v>1</v>
      </c>
      <c r="AD128" s="9">
        <f t="shared" si="129"/>
        <v>0.01</v>
      </c>
      <c r="AE128" s="13">
        <f t="shared" si="130"/>
        <v>115</v>
      </c>
      <c r="AF128" s="13">
        <f t="shared" si="131"/>
        <v>41</v>
      </c>
      <c r="AG128" s="27">
        <f t="shared" si="92"/>
        <v>75.932000000000002</v>
      </c>
      <c r="AH128" s="29">
        <f t="shared" si="93"/>
        <v>706.6</v>
      </c>
      <c r="AI128" s="29">
        <f t="shared" si="94"/>
        <v>706.6</v>
      </c>
      <c r="AJ128" s="29">
        <f t="shared" si="95"/>
        <v>706.6</v>
      </c>
      <c r="AK128" s="27">
        <f t="shared" si="96"/>
        <v>433.45000000000005</v>
      </c>
      <c r="AL128" s="27">
        <f t="shared" si="97"/>
        <v>433.45000000000005</v>
      </c>
      <c r="AM128" s="27">
        <f t="shared" si="98"/>
        <v>433.45000000000005</v>
      </c>
      <c r="AP128" s="10">
        <f t="shared" si="99"/>
        <v>-91.1</v>
      </c>
      <c r="AQ128" s="13">
        <f t="shared" si="100"/>
        <v>27615</v>
      </c>
      <c r="AR128" s="10">
        <f t="shared" si="101"/>
        <v>-56.4</v>
      </c>
      <c r="AS128" s="13">
        <f t="shared" si="102"/>
        <v>27615</v>
      </c>
      <c r="AV128" s="13">
        <f t="shared" si="103"/>
        <v>16</v>
      </c>
      <c r="AW128" s="13">
        <f t="shared" si="104"/>
        <v>27615</v>
      </c>
      <c r="AY128" s="13">
        <f t="shared" si="105"/>
        <v>1</v>
      </c>
      <c r="AZ128" s="13">
        <f t="shared" si="106"/>
        <v>27615</v>
      </c>
      <c r="BA128" s="13"/>
      <c r="BB128" s="13"/>
      <c r="BC128" s="10">
        <f t="shared" si="107"/>
        <v>34.699999999999996</v>
      </c>
      <c r="BD128" s="10">
        <f t="shared" si="108"/>
        <v>34.699999999999996</v>
      </c>
      <c r="BE128" s="13">
        <f t="shared" si="109"/>
        <v>27615</v>
      </c>
      <c r="BG128" s="9">
        <f t="shared" si="110"/>
        <v>0.01</v>
      </c>
      <c r="BH128" s="13">
        <f t="shared" si="111"/>
        <v>27615</v>
      </c>
      <c r="BJ128" s="13">
        <f t="shared" si="112"/>
        <v>115</v>
      </c>
      <c r="BK128" s="13">
        <f t="shared" si="113"/>
        <v>27615</v>
      </c>
      <c r="BL128" s="13"/>
      <c r="BM128" s="13">
        <f t="shared" si="114"/>
        <v>75.932000000000002</v>
      </c>
      <c r="BN128" s="13">
        <f t="shared" si="115"/>
        <v>27615</v>
      </c>
      <c r="BO128" s="13"/>
      <c r="BP128" s="13"/>
      <c r="BQ128" s="10"/>
      <c r="BR128" s="10">
        <f t="shared" si="122"/>
        <v>-37</v>
      </c>
      <c r="BS128">
        <v>10000</v>
      </c>
      <c r="BT128" s="13"/>
      <c r="BV128" s="25">
        <f t="shared" si="132"/>
        <v>264.42189107344888</v>
      </c>
      <c r="BW128">
        <v>10000</v>
      </c>
      <c r="BX128" s="13"/>
      <c r="BZ128" s="10">
        <f t="shared" si="133"/>
        <v>-56.4</v>
      </c>
      <c r="CA128" s="13">
        <f t="shared" si="134"/>
        <v>16</v>
      </c>
      <c r="CB128" s="9">
        <f t="shared" si="135"/>
        <v>-91.1</v>
      </c>
      <c r="CC128" s="13">
        <f t="shared" si="136"/>
        <v>16</v>
      </c>
      <c r="CD128">
        <f t="shared" si="116"/>
        <v>27615</v>
      </c>
      <c r="CE128" s="13">
        <f t="shared" si="117"/>
        <v>16</v>
      </c>
      <c r="CF128" s="13"/>
      <c r="CV128" s="9">
        <f t="shared" si="123"/>
        <v>2.5715277887770865E-2</v>
      </c>
      <c r="CW128" s="9">
        <f t="shared" si="118"/>
        <v>3.9932200159142416E-2</v>
      </c>
      <c r="CX128" s="9"/>
      <c r="CY128" s="9">
        <f t="shared" si="119"/>
        <v>2.5715277887770865E-2</v>
      </c>
      <c r="CZ128" s="9">
        <f t="shared" si="120"/>
        <v>3.9932200159142416E-2</v>
      </c>
    </row>
    <row r="129" spans="1:104" x14ac:dyDescent="0.25">
      <c r="A129" s="6"/>
      <c r="B129" s="21" t="str">
        <f>'Eingabe Diagramme'!B122</f>
        <v xml:space="preserve">   15.6  27773  -54.3  -90.3      0   0.01    119     37  718.5  718.5  718.5</v>
      </c>
      <c r="C129" s="19"/>
      <c r="D129" s="19"/>
      <c r="E129" s="19"/>
      <c r="F129" s="19"/>
      <c r="G129" s="19"/>
      <c r="H129" s="19"/>
      <c r="I129" s="20"/>
      <c r="J129" s="19"/>
      <c r="K129" s="19"/>
      <c r="L129" s="11" t="str">
        <f t="shared" si="121"/>
        <v xml:space="preserve">   15.6</v>
      </c>
      <c r="M129" s="11" t="str">
        <f t="shared" si="69"/>
        <v>27773</v>
      </c>
      <c r="N129" s="11" t="str">
        <f t="shared" si="70"/>
        <v>-54.3</v>
      </c>
      <c r="O129" s="11" t="str">
        <f t="shared" si="71"/>
        <v>-90.3</v>
      </c>
      <c r="P129" s="11" t="str">
        <f t="shared" si="72"/>
        <v xml:space="preserve">  0</v>
      </c>
      <c r="Q129" s="11" t="str">
        <f t="shared" si="73"/>
        <v xml:space="preserve"> 0.01</v>
      </c>
      <c r="R129" s="11" t="str">
        <f t="shared" si="74"/>
        <v>119</v>
      </c>
      <c r="S129" s="11" t="str">
        <f t="shared" si="75"/>
        <v xml:space="preserve"> 37</v>
      </c>
      <c r="T129" s="11" t="str">
        <f t="shared" si="89"/>
        <v>718.5</v>
      </c>
      <c r="U129" s="11" t="str">
        <f t="shared" si="90"/>
        <v>718.5</v>
      </c>
      <c r="V129" s="11" t="str">
        <f t="shared" si="91"/>
        <v>718.5</v>
      </c>
      <c r="W129" s="11"/>
      <c r="Y129" s="13">
        <f t="shared" si="124"/>
        <v>15.6</v>
      </c>
      <c r="Z129" s="13">
        <f t="shared" si="125"/>
        <v>27773</v>
      </c>
      <c r="AA129" s="10">
        <f t="shared" si="126"/>
        <v>-54.3</v>
      </c>
      <c r="AB129" s="10">
        <f t="shared" si="127"/>
        <v>-90.3</v>
      </c>
      <c r="AC129" s="13">
        <f t="shared" si="128"/>
        <v>0</v>
      </c>
      <c r="AD129" s="9">
        <f t="shared" si="129"/>
        <v>0.01</v>
      </c>
      <c r="AE129" s="13">
        <f t="shared" si="130"/>
        <v>119</v>
      </c>
      <c r="AF129" s="13">
        <f t="shared" si="131"/>
        <v>37</v>
      </c>
      <c r="AG129" s="27">
        <f t="shared" si="92"/>
        <v>68.524000000000001</v>
      </c>
      <c r="AH129" s="29">
        <f t="shared" si="93"/>
        <v>718.5</v>
      </c>
      <c r="AI129" s="29">
        <f t="shared" si="94"/>
        <v>718.5</v>
      </c>
      <c r="AJ129" s="29">
        <f t="shared" si="95"/>
        <v>718.5</v>
      </c>
      <c r="AK129" s="27">
        <f t="shared" si="96"/>
        <v>445.35</v>
      </c>
      <c r="AL129" s="27">
        <f t="shared" si="97"/>
        <v>445.35</v>
      </c>
      <c r="AM129" s="27">
        <f t="shared" si="98"/>
        <v>445.35</v>
      </c>
      <c r="AP129" s="10">
        <f t="shared" si="99"/>
        <v>-90.3</v>
      </c>
      <c r="AQ129" s="13">
        <f t="shared" si="100"/>
        <v>27773</v>
      </c>
      <c r="AR129" s="10">
        <f t="shared" si="101"/>
        <v>-54.3</v>
      </c>
      <c r="AS129" s="13">
        <f t="shared" si="102"/>
        <v>27773</v>
      </c>
      <c r="AV129" s="13">
        <f t="shared" si="103"/>
        <v>15.6</v>
      </c>
      <c r="AW129" s="13">
        <f t="shared" si="104"/>
        <v>27773</v>
      </c>
      <c r="AY129" s="13">
        <f t="shared" si="105"/>
        <v>0</v>
      </c>
      <c r="AZ129" s="13">
        <f t="shared" si="106"/>
        <v>27773</v>
      </c>
      <c r="BA129" s="13"/>
      <c r="BB129" s="13"/>
      <c r="BC129" s="10">
        <f t="shared" si="107"/>
        <v>36</v>
      </c>
      <c r="BD129" s="10">
        <f t="shared" si="108"/>
        <v>36</v>
      </c>
      <c r="BE129" s="13">
        <f t="shared" si="109"/>
        <v>27773</v>
      </c>
      <c r="BG129" s="9">
        <f t="shared" si="110"/>
        <v>0.01</v>
      </c>
      <c r="BH129" s="13">
        <f t="shared" si="111"/>
        <v>27773</v>
      </c>
      <c r="BJ129" s="13">
        <f t="shared" si="112"/>
        <v>119</v>
      </c>
      <c r="BK129" s="13">
        <f t="shared" si="113"/>
        <v>27773</v>
      </c>
      <c r="BL129" s="13"/>
      <c r="BM129" s="13">
        <f t="shared" si="114"/>
        <v>68.524000000000001</v>
      </c>
      <c r="BN129" s="13">
        <f t="shared" si="115"/>
        <v>27773</v>
      </c>
      <c r="BO129" s="13"/>
      <c r="BP129" s="13"/>
      <c r="BQ129" s="10"/>
      <c r="BR129" s="10">
        <f t="shared" si="122"/>
        <v>-37.649999999999991</v>
      </c>
      <c r="BS129">
        <v>10100</v>
      </c>
      <c r="BT129" s="13"/>
      <c r="BV129" s="25">
        <f t="shared" si="132"/>
        <v>260.39939700325738</v>
      </c>
      <c r="BW129">
        <v>10100</v>
      </c>
      <c r="BX129" s="13"/>
      <c r="BZ129" s="10">
        <f t="shared" si="133"/>
        <v>-54.3</v>
      </c>
      <c r="CA129" s="13">
        <f t="shared" si="134"/>
        <v>15.6</v>
      </c>
      <c r="CB129" s="9">
        <f t="shared" si="135"/>
        <v>-90.3</v>
      </c>
      <c r="CC129" s="13">
        <f t="shared" si="136"/>
        <v>15.6</v>
      </c>
      <c r="CD129">
        <f t="shared" si="116"/>
        <v>27773</v>
      </c>
      <c r="CE129" s="13">
        <f t="shared" si="117"/>
        <v>15.6</v>
      </c>
      <c r="CF129" s="13"/>
      <c r="CV129" s="9">
        <f t="shared" si="123"/>
        <v>2.4831810921270171E-2</v>
      </c>
      <c r="CW129" s="9">
        <f t="shared" si="118"/>
        <v>6.0995191460796835E-2</v>
      </c>
      <c r="CX129" s="9"/>
      <c r="CY129" s="9">
        <f t="shared" si="119"/>
        <v>2.4831810921270171E-2</v>
      </c>
      <c r="CZ129" s="9">
        <f t="shared" si="120"/>
        <v>6.0995191460796835E-2</v>
      </c>
    </row>
    <row r="130" spans="1:104" x14ac:dyDescent="0.25">
      <c r="A130" s="6"/>
      <c r="B130" s="21" t="str">
        <f>'Eingabe Diagramme'!B123</f>
        <v xml:space="preserve">   15.0  28023  -55.1  -90.3      1   0.01    125     32  724.0  724.1  724.0</v>
      </c>
      <c r="C130" s="19"/>
      <c r="D130" s="19"/>
      <c r="E130" s="19"/>
      <c r="F130" s="19"/>
      <c r="G130" s="19"/>
      <c r="H130" s="19"/>
      <c r="I130" s="20"/>
      <c r="J130" s="19"/>
      <c r="K130" s="19"/>
      <c r="L130" s="11" t="str">
        <f t="shared" si="121"/>
        <v xml:space="preserve">   15.0</v>
      </c>
      <c r="M130" s="11" t="str">
        <f t="shared" si="69"/>
        <v>28023</v>
      </c>
      <c r="N130" s="11" t="str">
        <f t="shared" si="70"/>
        <v>-55.1</v>
      </c>
      <c r="O130" s="11" t="str">
        <f t="shared" si="71"/>
        <v>-90.3</v>
      </c>
      <c r="P130" s="11" t="str">
        <f t="shared" si="72"/>
        <v xml:space="preserve">  1</v>
      </c>
      <c r="Q130" s="11" t="str">
        <f t="shared" si="73"/>
        <v xml:space="preserve"> 0.01</v>
      </c>
      <c r="R130" s="11" t="str">
        <f t="shared" si="74"/>
        <v>125</v>
      </c>
      <c r="S130" s="11" t="str">
        <f t="shared" si="75"/>
        <v xml:space="preserve"> 32</v>
      </c>
      <c r="T130" s="11" t="str">
        <f t="shared" si="89"/>
        <v>724.0</v>
      </c>
      <c r="U130" s="11" t="str">
        <f t="shared" si="90"/>
        <v>724.1</v>
      </c>
      <c r="V130" s="11" t="str">
        <f t="shared" si="91"/>
        <v>724.0</v>
      </c>
      <c r="W130" s="11"/>
      <c r="Y130" s="13">
        <f t="shared" si="124"/>
        <v>15</v>
      </c>
      <c r="Z130" s="13">
        <f t="shared" si="125"/>
        <v>28023</v>
      </c>
      <c r="AA130" s="10">
        <f t="shared" si="126"/>
        <v>-55.1</v>
      </c>
      <c r="AB130" s="10">
        <f t="shared" si="127"/>
        <v>-90.3</v>
      </c>
      <c r="AC130" s="13">
        <f t="shared" si="128"/>
        <v>1</v>
      </c>
      <c r="AD130" s="9">
        <f t="shared" si="129"/>
        <v>0.01</v>
      </c>
      <c r="AE130" s="13">
        <f t="shared" si="130"/>
        <v>125</v>
      </c>
      <c r="AF130" s="13">
        <f t="shared" si="131"/>
        <v>32</v>
      </c>
      <c r="AG130" s="27">
        <f t="shared" si="92"/>
        <v>59.264000000000003</v>
      </c>
      <c r="AH130" s="29">
        <f t="shared" si="93"/>
        <v>724</v>
      </c>
      <c r="AI130" s="29">
        <f t="shared" si="94"/>
        <v>724.1</v>
      </c>
      <c r="AJ130" s="29">
        <f t="shared" si="95"/>
        <v>724</v>
      </c>
      <c r="AK130" s="27">
        <f t="shared" si="96"/>
        <v>450.85</v>
      </c>
      <c r="AL130" s="27">
        <f t="shared" si="97"/>
        <v>450.95000000000005</v>
      </c>
      <c r="AM130" s="27">
        <f t="shared" si="98"/>
        <v>450.85</v>
      </c>
      <c r="AP130" s="10">
        <f t="shared" si="99"/>
        <v>-90.3</v>
      </c>
      <c r="AQ130" s="13">
        <f t="shared" si="100"/>
        <v>28023</v>
      </c>
      <c r="AR130" s="10">
        <f t="shared" si="101"/>
        <v>-55.1</v>
      </c>
      <c r="AS130" s="13">
        <f t="shared" si="102"/>
        <v>28023</v>
      </c>
      <c r="AV130" s="13">
        <f t="shared" si="103"/>
        <v>15</v>
      </c>
      <c r="AW130" s="13">
        <f t="shared" si="104"/>
        <v>28023</v>
      </c>
      <c r="AY130" s="13">
        <f t="shared" si="105"/>
        <v>1</v>
      </c>
      <c r="AZ130" s="13">
        <f t="shared" si="106"/>
        <v>28023</v>
      </c>
      <c r="BA130" s="13"/>
      <c r="BB130" s="13"/>
      <c r="BC130" s="10">
        <f t="shared" si="107"/>
        <v>35.199999999999996</v>
      </c>
      <c r="BD130" s="10">
        <f t="shared" si="108"/>
        <v>35.199999999999996</v>
      </c>
      <c r="BE130" s="13">
        <f t="shared" si="109"/>
        <v>28023</v>
      </c>
      <c r="BG130" s="9">
        <f t="shared" si="110"/>
        <v>0.01</v>
      </c>
      <c r="BH130" s="13">
        <f t="shared" si="111"/>
        <v>28023</v>
      </c>
      <c r="BJ130" s="13">
        <f t="shared" si="112"/>
        <v>125</v>
      </c>
      <c r="BK130" s="13">
        <f t="shared" si="113"/>
        <v>28023</v>
      </c>
      <c r="BL130" s="13"/>
      <c r="BM130" s="13">
        <f t="shared" si="114"/>
        <v>59.264000000000003</v>
      </c>
      <c r="BN130" s="13">
        <f t="shared" si="115"/>
        <v>28023</v>
      </c>
      <c r="BO130" s="13"/>
      <c r="BP130" s="13"/>
      <c r="BQ130" s="10"/>
      <c r="BR130" s="10">
        <f t="shared" si="122"/>
        <v>-38.299999999999997</v>
      </c>
      <c r="BS130">
        <v>10200</v>
      </c>
      <c r="BT130" s="13"/>
      <c r="BV130" s="25">
        <f t="shared" si="132"/>
        <v>256.42659433032497</v>
      </c>
      <c r="BW130">
        <v>10200</v>
      </c>
      <c r="BX130" s="13"/>
      <c r="BZ130" s="10">
        <f t="shared" si="133"/>
        <v>-55.1</v>
      </c>
      <c r="CA130" s="13">
        <f t="shared" si="134"/>
        <v>15</v>
      </c>
      <c r="CB130" s="9">
        <f t="shared" si="135"/>
        <v>-90.3</v>
      </c>
      <c r="CC130" s="13">
        <f t="shared" si="136"/>
        <v>15</v>
      </c>
      <c r="CD130">
        <f t="shared" si="116"/>
        <v>28023</v>
      </c>
      <c r="CE130" s="13">
        <f t="shared" si="117"/>
        <v>15</v>
      </c>
      <c r="CF130" s="13"/>
      <c r="CV130" s="9">
        <f t="shared" si="123"/>
        <v>2.3964342247367296E-2</v>
      </c>
      <c r="CW130" s="9">
        <f t="shared" si="118"/>
        <v>0.1017588107741753</v>
      </c>
      <c r="CX130" s="9"/>
      <c r="CY130" s="9">
        <f t="shared" si="119"/>
        <v>2.3964342247367296E-2</v>
      </c>
      <c r="CZ130" s="9">
        <f t="shared" si="120"/>
        <v>0.1017588107741753</v>
      </c>
    </row>
    <row r="131" spans="1:104" x14ac:dyDescent="0.25">
      <c r="A131" s="6"/>
      <c r="B131" s="21" t="str">
        <f>'Eingabe Diagramme'!B124</f>
        <v xml:space="preserve">   14.0  28461  -56.4  -90.3      1   0.01     95     25  733.8  733.9  733.8</v>
      </c>
      <c r="C131" s="19"/>
      <c r="D131" s="19"/>
      <c r="E131" s="19"/>
      <c r="F131" s="19"/>
      <c r="G131" s="19"/>
      <c r="H131" s="19"/>
      <c r="I131" s="20"/>
      <c r="J131" s="19"/>
      <c r="K131" s="19"/>
      <c r="L131" s="11" t="str">
        <f t="shared" si="121"/>
        <v xml:space="preserve">   14.0</v>
      </c>
      <c r="M131" s="11" t="str">
        <f t="shared" si="69"/>
        <v>28461</v>
      </c>
      <c r="N131" s="11" t="str">
        <f t="shared" si="70"/>
        <v>-56.4</v>
      </c>
      <c r="O131" s="11" t="str">
        <f t="shared" si="71"/>
        <v>-90.3</v>
      </c>
      <c r="P131" s="11" t="str">
        <f t="shared" si="72"/>
        <v xml:space="preserve">  1</v>
      </c>
      <c r="Q131" s="11" t="str">
        <f t="shared" si="73"/>
        <v xml:space="preserve"> 0.01</v>
      </c>
      <c r="R131" s="11" t="str">
        <f t="shared" si="74"/>
        <v xml:space="preserve"> 95</v>
      </c>
      <c r="S131" s="11" t="str">
        <f t="shared" si="75"/>
        <v xml:space="preserve"> 25</v>
      </c>
      <c r="T131" s="11" t="str">
        <f t="shared" si="89"/>
        <v>733.8</v>
      </c>
      <c r="U131" s="11" t="str">
        <f t="shared" si="90"/>
        <v>733.9</v>
      </c>
      <c r="V131" s="11" t="str">
        <f t="shared" si="91"/>
        <v>733.8</v>
      </c>
      <c r="W131" s="11"/>
      <c r="Y131" s="13">
        <f t="shared" si="124"/>
        <v>14</v>
      </c>
      <c r="Z131" s="13">
        <f t="shared" si="125"/>
        <v>28461</v>
      </c>
      <c r="AA131" s="10">
        <f t="shared" si="126"/>
        <v>-56.4</v>
      </c>
      <c r="AB131" s="10">
        <f t="shared" si="127"/>
        <v>-90.3</v>
      </c>
      <c r="AC131" s="13">
        <f t="shared" si="128"/>
        <v>1</v>
      </c>
      <c r="AD131" s="9">
        <f t="shared" si="129"/>
        <v>0.01</v>
      </c>
      <c r="AE131" s="13">
        <f t="shared" si="130"/>
        <v>95</v>
      </c>
      <c r="AF131" s="13">
        <f t="shared" si="131"/>
        <v>25</v>
      </c>
      <c r="AG131" s="27">
        <f t="shared" si="92"/>
        <v>46.300000000000004</v>
      </c>
      <c r="AH131" s="29">
        <f t="shared" si="93"/>
        <v>733.8</v>
      </c>
      <c r="AI131" s="29">
        <f t="shared" si="94"/>
        <v>733.9</v>
      </c>
      <c r="AJ131" s="29">
        <f t="shared" si="95"/>
        <v>733.8</v>
      </c>
      <c r="AK131" s="27">
        <f t="shared" si="96"/>
        <v>460.65</v>
      </c>
      <c r="AL131" s="27">
        <f t="shared" si="97"/>
        <v>460.75</v>
      </c>
      <c r="AM131" s="27">
        <f t="shared" si="98"/>
        <v>460.65</v>
      </c>
      <c r="AP131" s="10">
        <f t="shared" si="99"/>
        <v>-90.3</v>
      </c>
      <c r="AQ131" s="13">
        <f t="shared" si="100"/>
        <v>28461</v>
      </c>
      <c r="AR131" s="10">
        <f t="shared" si="101"/>
        <v>-56.4</v>
      </c>
      <c r="AS131" s="13">
        <f t="shared" si="102"/>
        <v>28461</v>
      </c>
      <c r="AV131" s="13">
        <f t="shared" si="103"/>
        <v>14</v>
      </c>
      <c r="AW131" s="13">
        <f t="shared" si="104"/>
        <v>28461</v>
      </c>
      <c r="AY131" s="13">
        <f t="shared" si="105"/>
        <v>1</v>
      </c>
      <c r="AZ131" s="13">
        <f t="shared" si="106"/>
        <v>28461</v>
      </c>
      <c r="BA131" s="13"/>
      <c r="BB131" s="13"/>
      <c r="BC131" s="10">
        <f t="shared" si="107"/>
        <v>33.9</v>
      </c>
      <c r="BD131" s="10">
        <f t="shared" si="108"/>
        <v>33.9</v>
      </c>
      <c r="BE131" s="13">
        <f t="shared" si="109"/>
        <v>28461</v>
      </c>
      <c r="BG131" s="9">
        <f t="shared" si="110"/>
        <v>0.01</v>
      </c>
      <c r="BH131" s="13">
        <f t="shared" si="111"/>
        <v>28461</v>
      </c>
      <c r="BJ131" s="13">
        <f t="shared" si="112"/>
        <v>95</v>
      </c>
      <c r="BK131" s="13">
        <f t="shared" si="113"/>
        <v>28461</v>
      </c>
      <c r="BL131" s="13"/>
      <c r="BM131" s="13">
        <f t="shared" si="114"/>
        <v>46.300000000000004</v>
      </c>
      <c r="BN131" s="13">
        <f t="shared" si="115"/>
        <v>28461</v>
      </c>
      <c r="BO131" s="13"/>
      <c r="BP131" s="13"/>
      <c r="BQ131" s="10"/>
      <c r="BR131" s="10">
        <f t="shared" si="122"/>
        <v>-38.950000000000003</v>
      </c>
      <c r="BS131">
        <v>10300</v>
      </c>
      <c r="BT131" s="13"/>
      <c r="BV131" s="25">
        <f t="shared" si="132"/>
        <v>252.50301209569969</v>
      </c>
      <c r="BW131">
        <v>10300</v>
      </c>
      <c r="BX131" s="13"/>
      <c r="BZ131" s="10">
        <f t="shared" si="133"/>
        <v>-56.4</v>
      </c>
      <c r="CA131" s="13">
        <f t="shared" si="134"/>
        <v>14</v>
      </c>
      <c r="CB131" s="9">
        <f t="shared" si="135"/>
        <v>-90.3</v>
      </c>
      <c r="CC131" s="13">
        <f t="shared" si="136"/>
        <v>14</v>
      </c>
      <c r="CD131">
        <f t="shared" si="116"/>
        <v>28461</v>
      </c>
      <c r="CE131" s="13">
        <f t="shared" si="117"/>
        <v>14</v>
      </c>
      <c r="CF131" s="13"/>
      <c r="CV131" s="9">
        <f t="shared" si="123"/>
        <v>2.2500868151799507E-2</v>
      </c>
      <c r="CW131" s="9">
        <f t="shared" si="118"/>
        <v>6.1336823773212097E-2</v>
      </c>
      <c r="CX131" s="9"/>
      <c r="CY131" s="9">
        <f t="shared" si="119"/>
        <v>2.2500868151799507E-2</v>
      </c>
      <c r="CZ131" s="9">
        <f t="shared" si="120"/>
        <v>6.1336823773212097E-2</v>
      </c>
    </row>
    <row r="132" spans="1:104" x14ac:dyDescent="0.25">
      <c r="A132" s="6"/>
      <c r="B132" s="21" t="str">
        <f>'Eingabe Diagramme'!B125</f>
        <v xml:space="preserve">   13.4  28739  -57.3  -90.3      1   0.01     83     30  740.1  740.2  740.1</v>
      </c>
      <c r="C132" s="19"/>
      <c r="D132" s="19"/>
      <c r="E132" s="19"/>
      <c r="F132" s="19"/>
      <c r="G132" s="19"/>
      <c r="H132" s="19"/>
      <c r="I132" s="20"/>
      <c r="J132" s="19"/>
      <c r="K132" s="19"/>
      <c r="L132" s="11" t="str">
        <f t="shared" si="121"/>
        <v xml:space="preserve">   13.4</v>
      </c>
      <c r="M132" s="11" t="str">
        <f t="shared" si="69"/>
        <v>28739</v>
      </c>
      <c r="N132" s="11" t="str">
        <f t="shared" si="70"/>
        <v>-57.3</v>
      </c>
      <c r="O132" s="11" t="str">
        <f t="shared" si="71"/>
        <v>-90.3</v>
      </c>
      <c r="P132" s="11" t="str">
        <f t="shared" si="72"/>
        <v xml:space="preserve">  1</v>
      </c>
      <c r="Q132" s="11" t="str">
        <f t="shared" si="73"/>
        <v xml:space="preserve"> 0.01</v>
      </c>
      <c r="R132" s="11" t="str">
        <f t="shared" si="74"/>
        <v xml:space="preserve"> 83</v>
      </c>
      <c r="S132" s="11" t="str">
        <f t="shared" si="75"/>
        <v xml:space="preserve"> 30</v>
      </c>
      <c r="T132" s="11" t="str">
        <f t="shared" si="89"/>
        <v>740.1</v>
      </c>
      <c r="U132" s="11" t="str">
        <f t="shared" si="90"/>
        <v>740.2</v>
      </c>
      <c r="V132" s="11" t="str">
        <f t="shared" si="91"/>
        <v>740.1</v>
      </c>
      <c r="W132" s="11"/>
      <c r="Y132" s="13">
        <f t="shared" si="124"/>
        <v>13.4</v>
      </c>
      <c r="Z132" s="13">
        <f t="shared" si="125"/>
        <v>28739</v>
      </c>
      <c r="AA132" s="10">
        <f t="shared" si="126"/>
        <v>-57.3</v>
      </c>
      <c r="AB132" s="10">
        <f t="shared" si="127"/>
        <v>-90.3</v>
      </c>
      <c r="AC132" s="13">
        <f t="shared" si="128"/>
        <v>1</v>
      </c>
      <c r="AD132" s="9">
        <f t="shared" si="129"/>
        <v>0.01</v>
      </c>
      <c r="AE132" s="13">
        <f t="shared" si="130"/>
        <v>83</v>
      </c>
      <c r="AF132" s="13">
        <f t="shared" si="131"/>
        <v>30</v>
      </c>
      <c r="AG132" s="27">
        <f t="shared" si="92"/>
        <v>55.56</v>
      </c>
      <c r="AH132" s="29">
        <f t="shared" si="93"/>
        <v>740.1</v>
      </c>
      <c r="AI132" s="29">
        <f t="shared" si="94"/>
        <v>740.2</v>
      </c>
      <c r="AJ132" s="29">
        <f t="shared" si="95"/>
        <v>740.1</v>
      </c>
      <c r="AK132" s="27">
        <f t="shared" si="96"/>
        <v>466.95000000000005</v>
      </c>
      <c r="AL132" s="27">
        <f t="shared" si="97"/>
        <v>467.05000000000007</v>
      </c>
      <c r="AM132" s="27">
        <f t="shared" si="98"/>
        <v>466.95000000000005</v>
      </c>
      <c r="AP132" s="10">
        <f t="shared" si="99"/>
        <v>-90.3</v>
      </c>
      <c r="AQ132" s="13">
        <f t="shared" si="100"/>
        <v>28739</v>
      </c>
      <c r="AR132" s="10">
        <f t="shared" si="101"/>
        <v>-57.3</v>
      </c>
      <c r="AS132" s="13">
        <f t="shared" si="102"/>
        <v>28739</v>
      </c>
      <c r="AV132" s="13">
        <f t="shared" si="103"/>
        <v>13.4</v>
      </c>
      <c r="AW132" s="13">
        <f t="shared" si="104"/>
        <v>28739</v>
      </c>
      <c r="AY132" s="13">
        <f t="shared" si="105"/>
        <v>1</v>
      </c>
      <c r="AZ132" s="13">
        <f t="shared" si="106"/>
        <v>28739</v>
      </c>
      <c r="BA132" s="13"/>
      <c r="BB132" s="13"/>
      <c r="BC132" s="10">
        <f t="shared" si="107"/>
        <v>33</v>
      </c>
      <c r="BD132" s="10">
        <f t="shared" si="108"/>
        <v>33</v>
      </c>
      <c r="BE132" s="13">
        <f t="shared" si="109"/>
        <v>28739</v>
      </c>
      <c r="BG132" s="9">
        <f t="shared" si="110"/>
        <v>0.01</v>
      </c>
      <c r="BH132" s="13">
        <f t="shared" si="111"/>
        <v>28739</v>
      </c>
      <c r="BJ132" s="13">
        <f t="shared" si="112"/>
        <v>83</v>
      </c>
      <c r="BK132" s="13">
        <f t="shared" si="113"/>
        <v>28739</v>
      </c>
      <c r="BL132" s="13"/>
      <c r="BM132" s="13">
        <f t="shared" si="114"/>
        <v>55.56</v>
      </c>
      <c r="BN132" s="13">
        <f t="shared" si="115"/>
        <v>28739</v>
      </c>
      <c r="BO132" s="13"/>
      <c r="BP132" s="13"/>
      <c r="BQ132" s="10"/>
      <c r="BR132" s="10">
        <f t="shared" si="122"/>
        <v>-39.599999999999994</v>
      </c>
      <c r="BS132">
        <v>10400</v>
      </c>
      <c r="BT132" s="13"/>
      <c r="BV132" s="25">
        <f t="shared" si="132"/>
        <v>248.62818244176401</v>
      </c>
      <c r="BW132">
        <v>10400</v>
      </c>
      <c r="BX132" s="13"/>
      <c r="BZ132" s="10">
        <f t="shared" si="133"/>
        <v>-57.3</v>
      </c>
      <c r="CA132" s="13">
        <f t="shared" si="134"/>
        <v>13.4</v>
      </c>
      <c r="CB132" s="9">
        <f t="shared" si="135"/>
        <v>-90.3</v>
      </c>
      <c r="CC132" s="13">
        <f t="shared" si="136"/>
        <v>13.4</v>
      </c>
      <c r="CD132">
        <f t="shared" si="116"/>
        <v>28739</v>
      </c>
      <c r="CE132" s="13">
        <f t="shared" si="117"/>
        <v>13.4</v>
      </c>
      <c r="CF132" s="13"/>
      <c r="CV132" s="9">
        <f t="shared" si="123"/>
        <v>2.1626343195835097E-2</v>
      </c>
      <c r="CW132" s="9" t="e">
        <f t="shared" si="118"/>
        <v>#VALUE!</v>
      </c>
      <c r="CX132" s="9"/>
      <c r="CY132" s="9">
        <f t="shared" si="119"/>
        <v>2.1626343195835097E-2</v>
      </c>
      <c r="CZ132" s="9" t="str">
        <f t="shared" si="120"/>
        <v/>
      </c>
    </row>
    <row r="133" spans="1:104" x14ac:dyDescent="0.25">
      <c r="A133" s="6"/>
      <c r="B133" s="1"/>
      <c r="I133" s="6"/>
      <c r="L133" s="11" t="str">
        <f t="shared" si="121"/>
        <v/>
      </c>
      <c r="M133" s="11" t="str">
        <f t="shared" si="69"/>
        <v/>
      </c>
      <c r="N133" s="11" t="str">
        <f t="shared" si="70"/>
        <v/>
      </c>
      <c r="O133" s="11" t="str">
        <f t="shared" si="71"/>
        <v/>
      </c>
      <c r="P133" s="11" t="str">
        <f t="shared" si="72"/>
        <v/>
      </c>
      <c r="Q133" s="11" t="str">
        <f t="shared" si="73"/>
        <v/>
      </c>
      <c r="R133" s="11" t="str">
        <f t="shared" si="74"/>
        <v/>
      </c>
      <c r="S133" s="11" t="str">
        <f t="shared" si="75"/>
        <v/>
      </c>
      <c r="T133" s="11" t="str">
        <f t="shared" si="89"/>
        <v/>
      </c>
      <c r="U133" s="11" t="str">
        <f t="shared" si="90"/>
        <v/>
      </c>
      <c r="V133" s="11" t="str">
        <f t="shared" si="91"/>
        <v/>
      </c>
      <c r="W133" s="11"/>
      <c r="Y133" s="13" t="e">
        <f t="shared" si="124"/>
        <v>#VALUE!</v>
      </c>
      <c r="Z133" s="13" t="e">
        <f t="shared" si="125"/>
        <v>#VALUE!</v>
      </c>
      <c r="AA133" s="10" t="e">
        <f t="shared" si="126"/>
        <v>#VALUE!</v>
      </c>
      <c r="AB133" s="10" t="e">
        <f t="shared" si="127"/>
        <v>#VALUE!</v>
      </c>
      <c r="AC133" s="13" t="e">
        <f t="shared" si="128"/>
        <v>#VALUE!</v>
      </c>
      <c r="AD133" s="9" t="e">
        <f t="shared" si="129"/>
        <v>#VALUE!</v>
      </c>
      <c r="AE133" s="13" t="e">
        <f t="shared" si="130"/>
        <v>#VALUE!</v>
      </c>
      <c r="AF133" s="13" t="e">
        <f t="shared" si="131"/>
        <v>#VALUE!</v>
      </c>
      <c r="AG133" s="27" t="e">
        <f t="shared" si="92"/>
        <v>#VALUE!</v>
      </c>
      <c r="AH133" s="29" t="e">
        <f t="shared" si="93"/>
        <v>#VALUE!</v>
      </c>
      <c r="AI133" s="29" t="e">
        <f t="shared" si="94"/>
        <v>#VALUE!</v>
      </c>
      <c r="AJ133" s="29" t="e">
        <f t="shared" si="95"/>
        <v>#VALUE!</v>
      </c>
      <c r="AK133" s="27" t="e">
        <f t="shared" si="96"/>
        <v>#VALUE!</v>
      </c>
      <c r="AL133" s="27" t="e">
        <f t="shared" si="97"/>
        <v>#VALUE!</v>
      </c>
      <c r="AM133" s="27" t="e">
        <f t="shared" si="98"/>
        <v>#VALUE!</v>
      </c>
      <c r="AP133" s="10">
        <f t="shared" si="99"/>
        <v>-999</v>
      </c>
      <c r="AQ133" s="13">
        <f t="shared" si="100"/>
        <v>-999</v>
      </c>
      <c r="AR133" s="10">
        <f t="shared" si="101"/>
        <v>-999</v>
      </c>
      <c r="AS133" s="13">
        <f t="shared" si="102"/>
        <v>-999</v>
      </c>
      <c r="AV133" s="13">
        <f t="shared" si="103"/>
        <v>-999</v>
      </c>
      <c r="AW133" s="13">
        <f t="shared" si="104"/>
        <v>-999</v>
      </c>
      <c r="AY133" s="13">
        <f t="shared" si="105"/>
        <v>-999</v>
      </c>
      <c r="AZ133" s="13">
        <f t="shared" si="106"/>
        <v>-999</v>
      </c>
      <c r="BA133" s="13"/>
      <c r="BB133" s="13"/>
      <c r="BC133" s="10">
        <f t="shared" si="107"/>
        <v>-999</v>
      </c>
      <c r="BD133" s="10">
        <f t="shared" si="108"/>
        <v>-999</v>
      </c>
      <c r="BE133" s="13">
        <f t="shared" si="109"/>
        <v>-999</v>
      </c>
      <c r="BG133" s="9">
        <f t="shared" si="110"/>
        <v>-999</v>
      </c>
      <c r="BH133" s="13">
        <f t="shared" si="111"/>
        <v>-999</v>
      </c>
      <c r="BJ133" s="13">
        <f t="shared" si="112"/>
        <v>-999</v>
      </c>
      <c r="BK133" s="13">
        <f t="shared" si="113"/>
        <v>-999</v>
      </c>
      <c r="BL133" s="13"/>
      <c r="BM133" s="13">
        <f t="shared" si="114"/>
        <v>-999</v>
      </c>
      <c r="BN133" s="13">
        <f t="shared" si="115"/>
        <v>-999</v>
      </c>
      <c r="BO133" s="13"/>
      <c r="BP133" s="13"/>
      <c r="BQ133" s="10"/>
      <c r="BR133" s="10">
        <f t="shared" si="122"/>
        <v>-40.25</v>
      </c>
      <c r="BS133">
        <v>10500</v>
      </c>
      <c r="BT133" s="13"/>
      <c r="BV133" s="25">
        <f t="shared" si="132"/>
        <v>244.80164060083709</v>
      </c>
      <c r="BW133">
        <v>10500</v>
      </c>
      <c r="BX133" s="13"/>
      <c r="BZ133" s="10">
        <f t="shared" si="133"/>
        <v>-999</v>
      </c>
      <c r="CA133" s="13">
        <f t="shared" si="134"/>
        <v>-999</v>
      </c>
      <c r="CB133" s="9">
        <f t="shared" si="135"/>
        <v>-999</v>
      </c>
      <c r="CC133" s="13">
        <f t="shared" si="136"/>
        <v>-999</v>
      </c>
      <c r="CD133">
        <f t="shared" si="116"/>
        <v>-999</v>
      </c>
      <c r="CE133" s="13">
        <f t="shared" si="117"/>
        <v>-999</v>
      </c>
      <c r="CF133" s="13"/>
      <c r="CV133" s="9" t="e">
        <f t="shared" si="123"/>
        <v>#VALUE!</v>
      </c>
      <c r="CW133" s="9" t="e">
        <f t="shared" si="118"/>
        <v>#VALUE!</v>
      </c>
      <c r="CX133" s="9"/>
      <c r="CY133" s="9" t="str">
        <f t="shared" si="119"/>
        <v/>
      </c>
      <c r="CZ133" s="9" t="str">
        <f t="shared" si="120"/>
        <v/>
      </c>
    </row>
    <row r="134" spans="1:104" x14ac:dyDescent="0.25">
      <c r="A134" s="6"/>
      <c r="B134" s="1"/>
      <c r="I134" s="6"/>
      <c r="L134" s="11" t="str">
        <f t="shared" si="121"/>
        <v/>
      </c>
      <c r="M134" s="11" t="str">
        <f t="shared" si="69"/>
        <v/>
      </c>
      <c r="N134" s="11" t="str">
        <f t="shared" si="70"/>
        <v/>
      </c>
      <c r="O134" s="11" t="str">
        <f t="shared" si="71"/>
        <v/>
      </c>
      <c r="P134" s="11" t="str">
        <f t="shared" si="72"/>
        <v/>
      </c>
      <c r="Q134" s="11" t="str">
        <f t="shared" si="73"/>
        <v/>
      </c>
      <c r="R134" s="11" t="str">
        <f t="shared" si="74"/>
        <v/>
      </c>
      <c r="S134" s="11" t="str">
        <f t="shared" si="75"/>
        <v/>
      </c>
      <c r="T134" s="11" t="str">
        <f t="shared" si="89"/>
        <v/>
      </c>
      <c r="U134" s="11" t="str">
        <f t="shared" si="90"/>
        <v/>
      </c>
      <c r="V134" s="11" t="str">
        <f t="shared" si="91"/>
        <v/>
      </c>
      <c r="W134" s="11"/>
      <c r="Y134" s="13" t="e">
        <f t="shared" si="124"/>
        <v>#VALUE!</v>
      </c>
      <c r="Z134" s="13" t="e">
        <f t="shared" si="125"/>
        <v>#VALUE!</v>
      </c>
      <c r="AA134" s="10" t="e">
        <f t="shared" si="126"/>
        <v>#VALUE!</v>
      </c>
      <c r="AB134" s="10" t="e">
        <f t="shared" si="127"/>
        <v>#VALUE!</v>
      </c>
      <c r="AC134" s="13" t="e">
        <f t="shared" si="128"/>
        <v>#VALUE!</v>
      </c>
      <c r="AD134" s="9" t="e">
        <f t="shared" si="129"/>
        <v>#VALUE!</v>
      </c>
      <c r="AE134" s="13" t="e">
        <f t="shared" si="130"/>
        <v>#VALUE!</v>
      </c>
      <c r="AF134" s="13" t="e">
        <f t="shared" si="131"/>
        <v>#VALUE!</v>
      </c>
      <c r="AG134" s="27" t="e">
        <f t="shared" si="92"/>
        <v>#VALUE!</v>
      </c>
      <c r="AH134" s="29" t="e">
        <f t="shared" si="93"/>
        <v>#VALUE!</v>
      </c>
      <c r="AI134" s="29" t="e">
        <f t="shared" si="94"/>
        <v>#VALUE!</v>
      </c>
      <c r="AJ134" s="29" t="e">
        <f t="shared" si="95"/>
        <v>#VALUE!</v>
      </c>
      <c r="AK134" s="27" t="e">
        <f t="shared" si="96"/>
        <v>#VALUE!</v>
      </c>
      <c r="AL134" s="27" t="e">
        <f t="shared" si="97"/>
        <v>#VALUE!</v>
      </c>
      <c r="AM134" s="27" t="e">
        <f t="shared" si="98"/>
        <v>#VALUE!</v>
      </c>
      <c r="AP134" s="10">
        <f t="shared" si="99"/>
        <v>-999</v>
      </c>
      <c r="AQ134" s="13">
        <f t="shared" si="100"/>
        <v>-999</v>
      </c>
      <c r="AR134" s="10">
        <f t="shared" si="101"/>
        <v>-999</v>
      </c>
      <c r="AS134" s="13">
        <f t="shared" si="102"/>
        <v>-999</v>
      </c>
      <c r="AV134" s="13">
        <f t="shared" si="103"/>
        <v>-999</v>
      </c>
      <c r="AW134" s="13">
        <f t="shared" si="104"/>
        <v>-999</v>
      </c>
      <c r="AY134" s="13">
        <f t="shared" si="105"/>
        <v>-999</v>
      </c>
      <c r="AZ134" s="13">
        <f t="shared" si="106"/>
        <v>-999</v>
      </c>
      <c r="BA134" s="13"/>
      <c r="BB134" s="13"/>
      <c r="BC134" s="10">
        <f t="shared" si="107"/>
        <v>-999</v>
      </c>
      <c r="BD134" s="10">
        <f t="shared" si="108"/>
        <v>-999</v>
      </c>
      <c r="BE134" s="13">
        <f t="shared" si="109"/>
        <v>-999</v>
      </c>
      <c r="BG134" s="9">
        <f t="shared" si="110"/>
        <v>-999</v>
      </c>
      <c r="BH134" s="13">
        <f t="shared" si="111"/>
        <v>-999</v>
      </c>
      <c r="BJ134" s="13">
        <f t="shared" si="112"/>
        <v>-999</v>
      </c>
      <c r="BK134" s="13">
        <f t="shared" si="113"/>
        <v>-999</v>
      </c>
      <c r="BL134" s="13"/>
      <c r="BM134" s="13">
        <f t="shared" si="114"/>
        <v>-999</v>
      </c>
      <c r="BN134" s="13">
        <f t="shared" si="115"/>
        <v>-999</v>
      </c>
      <c r="BO134" s="13"/>
      <c r="BP134" s="13"/>
      <c r="BQ134" s="10"/>
      <c r="BR134" s="10">
        <f t="shared" si="122"/>
        <v>-40.899999999999991</v>
      </c>
      <c r="BS134">
        <v>10600</v>
      </c>
      <c r="BT134" s="13"/>
      <c r="BV134" s="25">
        <f t="shared" si="132"/>
        <v>241.0229248837835</v>
      </c>
      <c r="BW134">
        <v>10600</v>
      </c>
      <c r="BX134" s="13"/>
      <c r="BZ134" s="10">
        <f t="shared" si="133"/>
        <v>-999</v>
      </c>
      <c r="CA134" s="13">
        <f t="shared" si="134"/>
        <v>-999</v>
      </c>
      <c r="CB134" s="9">
        <f t="shared" si="135"/>
        <v>-999</v>
      </c>
      <c r="CC134" s="13">
        <f t="shared" si="136"/>
        <v>-999</v>
      </c>
      <c r="CD134">
        <f t="shared" si="116"/>
        <v>-999</v>
      </c>
      <c r="CE134" s="13">
        <f t="shared" si="117"/>
        <v>-999</v>
      </c>
      <c r="CF134" s="13"/>
      <c r="CV134" s="9" t="e">
        <f t="shared" si="123"/>
        <v>#VALUE!</v>
      </c>
      <c r="CW134" s="9" t="e">
        <f t="shared" si="118"/>
        <v>#VALUE!</v>
      </c>
      <c r="CX134" s="9"/>
      <c r="CY134" s="9" t="str">
        <f t="shared" si="119"/>
        <v/>
      </c>
      <c r="CZ134" s="9" t="str">
        <f t="shared" si="120"/>
        <v/>
      </c>
    </row>
    <row r="135" spans="1:104" x14ac:dyDescent="0.25">
      <c r="A135" s="6"/>
      <c r="B135" s="1"/>
      <c r="I135" s="6"/>
      <c r="L135" s="11" t="str">
        <f t="shared" si="121"/>
        <v/>
      </c>
      <c r="M135" s="11" t="str">
        <f t="shared" si="69"/>
        <v/>
      </c>
      <c r="N135" s="11" t="str">
        <f t="shared" si="70"/>
        <v/>
      </c>
      <c r="O135" s="11" t="str">
        <f t="shared" si="71"/>
        <v/>
      </c>
      <c r="P135" s="11" t="str">
        <f t="shared" si="72"/>
        <v/>
      </c>
      <c r="Q135" s="11" t="str">
        <f t="shared" si="73"/>
        <v/>
      </c>
      <c r="R135" s="11" t="str">
        <f t="shared" si="74"/>
        <v/>
      </c>
      <c r="S135" s="11" t="str">
        <f t="shared" si="75"/>
        <v/>
      </c>
      <c r="T135" s="11" t="str">
        <f t="shared" si="89"/>
        <v/>
      </c>
      <c r="U135" s="11" t="str">
        <f t="shared" si="90"/>
        <v/>
      </c>
      <c r="V135" s="11" t="str">
        <f t="shared" si="91"/>
        <v/>
      </c>
      <c r="W135" s="11"/>
      <c r="Y135" s="13" t="e">
        <f t="shared" si="124"/>
        <v>#VALUE!</v>
      </c>
      <c r="Z135" s="13" t="e">
        <f t="shared" si="125"/>
        <v>#VALUE!</v>
      </c>
      <c r="AA135" s="10" t="e">
        <f t="shared" si="126"/>
        <v>#VALUE!</v>
      </c>
      <c r="AB135" s="10" t="e">
        <f t="shared" si="127"/>
        <v>#VALUE!</v>
      </c>
      <c r="AC135" s="13" t="e">
        <f t="shared" si="128"/>
        <v>#VALUE!</v>
      </c>
      <c r="AD135" s="9" t="e">
        <f t="shared" si="129"/>
        <v>#VALUE!</v>
      </c>
      <c r="AE135" s="13" t="e">
        <f t="shared" si="130"/>
        <v>#VALUE!</v>
      </c>
      <c r="AF135" s="13" t="e">
        <f t="shared" si="131"/>
        <v>#VALUE!</v>
      </c>
      <c r="AG135" s="27" t="e">
        <f t="shared" si="92"/>
        <v>#VALUE!</v>
      </c>
      <c r="AH135" s="29" t="e">
        <f t="shared" si="93"/>
        <v>#VALUE!</v>
      </c>
      <c r="AI135" s="29" t="e">
        <f t="shared" si="94"/>
        <v>#VALUE!</v>
      </c>
      <c r="AJ135" s="29" t="e">
        <f t="shared" si="95"/>
        <v>#VALUE!</v>
      </c>
      <c r="AK135" s="27" t="e">
        <f t="shared" si="96"/>
        <v>#VALUE!</v>
      </c>
      <c r="AL135" s="27" t="e">
        <f t="shared" si="97"/>
        <v>#VALUE!</v>
      </c>
      <c r="AM135" s="27" t="e">
        <f t="shared" si="98"/>
        <v>#VALUE!</v>
      </c>
      <c r="AP135" s="10">
        <f t="shared" si="99"/>
        <v>-999</v>
      </c>
      <c r="AQ135" s="13">
        <f t="shared" si="100"/>
        <v>-999</v>
      </c>
      <c r="AR135" s="10">
        <f t="shared" si="101"/>
        <v>-999</v>
      </c>
      <c r="AS135" s="13">
        <f t="shared" si="102"/>
        <v>-999</v>
      </c>
      <c r="AV135" s="13">
        <f t="shared" si="103"/>
        <v>-999</v>
      </c>
      <c r="AW135" s="13">
        <f t="shared" si="104"/>
        <v>-999</v>
      </c>
      <c r="AY135" s="13">
        <f t="shared" si="105"/>
        <v>-999</v>
      </c>
      <c r="AZ135" s="13">
        <f t="shared" si="106"/>
        <v>-999</v>
      </c>
      <c r="BA135" s="13"/>
      <c r="BB135" s="13"/>
      <c r="BC135" s="10">
        <f t="shared" si="107"/>
        <v>-999</v>
      </c>
      <c r="BD135" s="10">
        <f t="shared" si="108"/>
        <v>-999</v>
      </c>
      <c r="BE135" s="13">
        <f t="shared" si="109"/>
        <v>-999</v>
      </c>
      <c r="BG135" s="9">
        <f t="shared" si="110"/>
        <v>-999</v>
      </c>
      <c r="BH135" s="13">
        <f t="shared" si="111"/>
        <v>-999</v>
      </c>
      <c r="BJ135" s="13">
        <f t="shared" si="112"/>
        <v>-999</v>
      </c>
      <c r="BK135" s="13">
        <f t="shared" si="113"/>
        <v>-999</v>
      </c>
      <c r="BL135" s="13"/>
      <c r="BM135" s="13">
        <f t="shared" si="114"/>
        <v>-999</v>
      </c>
      <c r="BN135" s="13">
        <f t="shared" si="115"/>
        <v>-999</v>
      </c>
      <c r="BO135" s="13"/>
      <c r="BP135" s="13"/>
      <c r="BQ135" s="10"/>
      <c r="BR135" s="10">
        <f t="shared" si="122"/>
        <v>-41.55</v>
      </c>
      <c r="BS135">
        <v>10700</v>
      </c>
      <c r="BT135" s="13"/>
      <c r="BV135" s="25">
        <f t="shared" si="132"/>
        <v>237.29157666863063</v>
      </c>
      <c r="BW135">
        <v>10700</v>
      </c>
      <c r="BX135" s="13"/>
      <c r="BZ135" s="10">
        <f t="shared" si="133"/>
        <v>-999</v>
      </c>
      <c r="CA135" s="13">
        <f t="shared" si="134"/>
        <v>-999</v>
      </c>
      <c r="CB135" s="9">
        <f t="shared" si="135"/>
        <v>-999</v>
      </c>
      <c r="CC135" s="13">
        <f t="shared" si="136"/>
        <v>-999</v>
      </c>
      <c r="CD135">
        <f t="shared" si="116"/>
        <v>-999</v>
      </c>
      <c r="CE135" s="13">
        <f t="shared" si="117"/>
        <v>-999</v>
      </c>
      <c r="CF135" s="13"/>
      <c r="CV135" s="9" t="e">
        <f t="shared" si="123"/>
        <v>#VALUE!</v>
      </c>
      <c r="CW135" s="9" t="e">
        <f t="shared" si="118"/>
        <v>#VALUE!</v>
      </c>
      <c r="CX135" s="9"/>
      <c r="CY135" s="9" t="str">
        <f t="shared" si="119"/>
        <v/>
      </c>
      <c r="CZ135" s="9" t="str">
        <f t="shared" si="120"/>
        <v/>
      </c>
    </row>
    <row r="136" spans="1:104" x14ac:dyDescent="0.25">
      <c r="A136" s="6"/>
      <c r="B136" s="1"/>
      <c r="I136" s="6"/>
      <c r="L136" s="11" t="str">
        <f t="shared" si="121"/>
        <v/>
      </c>
      <c r="M136" s="11" t="str">
        <f t="shared" si="69"/>
        <v/>
      </c>
      <c r="N136" s="11" t="str">
        <f t="shared" si="70"/>
        <v/>
      </c>
      <c r="O136" s="11" t="str">
        <f t="shared" si="71"/>
        <v/>
      </c>
      <c r="P136" s="11" t="str">
        <f t="shared" si="72"/>
        <v/>
      </c>
      <c r="Q136" s="11" t="str">
        <f t="shared" si="73"/>
        <v/>
      </c>
      <c r="R136" s="11" t="str">
        <f t="shared" si="74"/>
        <v/>
      </c>
      <c r="S136" s="11" t="str">
        <f t="shared" si="75"/>
        <v/>
      </c>
      <c r="T136" s="11" t="str">
        <f t="shared" si="89"/>
        <v/>
      </c>
      <c r="U136" s="11" t="str">
        <f t="shared" si="90"/>
        <v/>
      </c>
      <c r="V136" s="11" t="str">
        <f t="shared" si="91"/>
        <v/>
      </c>
      <c r="W136" s="11"/>
      <c r="Y136" s="13" t="e">
        <f t="shared" si="124"/>
        <v>#VALUE!</v>
      </c>
      <c r="Z136" s="13" t="e">
        <f t="shared" si="125"/>
        <v>#VALUE!</v>
      </c>
      <c r="AA136" s="10" t="e">
        <f t="shared" si="126"/>
        <v>#VALUE!</v>
      </c>
      <c r="AB136" s="10" t="e">
        <f t="shared" si="127"/>
        <v>#VALUE!</v>
      </c>
      <c r="AC136" s="13" t="e">
        <f t="shared" si="128"/>
        <v>#VALUE!</v>
      </c>
      <c r="AD136" s="9" t="e">
        <f t="shared" si="129"/>
        <v>#VALUE!</v>
      </c>
      <c r="AE136" s="13" t="e">
        <f t="shared" si="130"/>
        <v>#VALUE!</v>
      </c>
      <c r="AF136" s="13" t="e">
        <f t="shared" si="131"/>
        <v>#VALUE!</v>
      </c>
      <c r="AG136" s="27" t="e">
        <f t="shared" si="92"/>
        <v>#VALUE!</v>
      </c>
      <c r="AH136" s="29" t="e">
        <f t="shared" si="93"/>
        <v>#VALUE!</v>
      </c>
      <c r="AI136" s="29" t="e">
        <f t="shared" si="94"/>
        <v>#VALUE!</v>
      </c>
      <c r="AJ136" s="29" t="e">
        <f t="shared" si="95"/>
        <v>#VALUE!</v>
      </c>
      <c r="AK136" s="27" t="e">
        <f t="shared" si="96"/>
        <v>#VALUE!</v>
      </c>
      <c r="AL136" s="27" t="e">
        <f t="shared" si="97"/>
        <v>#VALUE!</v>
      </c>
      <c r="AM136" s="27" t="e">
        <f t="shared" si="98"/>
        <v>#VALUE!</v>
      </c>
      <c r="AP136" s="10">
        <f t="shared" si="99"/>
        <v>-999</v>
      </c>
      <c r="AQ136" s="13">
        <f t="shared" si="100"/>
        <v>-999</v>
      </c>
      <c r="AR136" s="10">
        <f t="shared" si="101"/>
        <v>-999</v>
      </c>
      <c r="AS136" s="13">
        <f t="shared" si="102"/>
        <v>-999</v>
      </c>
      <c r="AV136" s="13">
        <f t="shared" si="103"/>
        <v>-999</v>
      </c>
      <c r="AW136" s="13">
        <f t="shared" si="104"/>
        <v>-999</v>
      </c>
      <c r="AY136" s="13">
        <f t="shared" si="105"/>
        <v>-999</v>
      </c>
      <c r="AZ136" s="13">
        <f t="shared" si="106"/>
        <v>-999</v>
      </c>
      <c r="BA136" s="13"/>
      <c r="BB136" s="13"/>
      <c r="BC136" s="10">
        <f t="shared" si="107"/>
        <v>-999</v>
      </c>
      <c r="BD136" s="10">
        <f t="shared" si="108"/>
        <v>-999</v>
      </c>
      <c r="BE136" s="13">
        <f t="shared" si="109"/>
        <v>-999</v>
      </c>
      <c r="BG136" s="9">
        <f t="shared" si="110"/>
        <v>-999</v>
      </c>
      <c r="BH136" s="13">
        <f t="shared" si="111"/>
        <v>-999</v>
      </c>
      <c r="BJ136" s="13">
        <f t="shared" si="112"/>
        <v>-999</v>
      </c>
      <c r="BK136" s="13">
        <f t="shared" si="113"/>
        <v>-999</v>
      </c>
      <c r="BL136" s="13"/>
      <c r="BM136" s="13">
        <f t="shared" si="114"/>
        <v>-999</v>
      </c>
      <c r="BN136" s="13">
        <f t="shared" si="115"/>
        <v>-999</v>
      </c>
      <c r="BO136" s="13"/>
      <c r="BP136" s="13"/>
      <c r="BQ136" s="10"/>
      <c r="BR136" s="10">
        <f t="shared" si="122"/>
        <v>-42.2</v>
      </c>
      <c r="BS136">
        <v>10800</v>
      </c>
      <c r="BT136" s="13"/>
      <c r="BV136" s="25">
        <f t="shared" si="132"/>
        <v>233.60714038919559</v>
      </c>
      <c r="BW136">
        <v>10800</v>
      </c>
      <c r="BX136" s="13"/>
      <c r="BZ136" s="10">
        <f t="shared" si="133"/>
        <v>-999</v>
      </c>
      <c r="CA136" s="13">
        <f t="shared" si="134"/>
        <v>-999</v>
      </c>
      <c r="CB136" s="9">
        <f t="shared" si="135"/>
        <v>-999</v>
      </c>
      <c r="CC136" s="13">
        <f t="shared" si="136"/>
        <v>-999</v>
      </c>
      <c r="CD136">
        <f t="shared" si="116"/>
        <v>-999</v>
      </c>
      <c r="CE136" s="13">
        <f t="shared" si="117"/>
        <v>-999</v>
      </c>
      <c r="CF136" s="13"/>
      <c r="CV136" s="9" t="e">
        <f t="shared" si="123"/>
        <v>#VALUE!</v>
      </c>
      <c r="CW136" s="9" t="e">
        <f t="shared" si="118"/>
        <v>#VALUE!</v>
      </c>
      <c r="CX136" s="9"/>
      <c r="CY136" s="9" t="str">
        <f t="shared" si="119"/>
        <v/>
      </c>
      <c r="CZ136" s="9" t="str">
        <f t="shared" si="120"/>
        <v/>
      </c>
    </row>
    <row r="137" spans="1:104" x14ac:dyDescent="0.25">
      <c r="A137" s="6"/>
      <c r="B137" s="1"/>
      <c r="I137" s="6"/>
      <c r="L137" s="11" t="str">
        <f t="shared" si="121"/>
        <v/>
      </c>
      <c r="M137" s="11" t="str">
        <f t="shared" si="69"/>
        <v/>
      </c>
      <c r="N137" s="11" t="str">
        <f t="shared" si="70"/>
        <v/>
      </c>
      <c r="O137" s="11" t="str">
        <f t="shared" si="71"/>
        <v/>
      </c>
      <c r="P137" s="11" t="str">
        <f t="shared" si="72"/>
        <v/>
      </c>
      <c r="Q137" s="11" t="str">
        <f t="shared" si="73"/>
        <v/>
      </c>
      <c r="R137" s="11" t="str">
        <f t="shared" si="74"/>
        <v/>
      </c>
      <c r="S137" s="11" t="str">
        <f t="shared" si="75"/>
        <v/>
      </c>
      <c r="T137" s="11" t="str">
        <f t="shared" si="89"/>
        <v/>
      </c>
      <c r="U137" s="11" t="str">
        <f t="shared" si="90"/>
        <v/>
      </c>
      <c r="V137" s="11" t="str">
        <f t="shared" si="91"/>
        <v/>
      </c>
      <c r="W137" s="11"/>
      <c r="Y137" s="13" t="e">
        <f t="shared" si="124"/>
        <v>#VALUE!</v>
      </c>
      <c r="Z137" s="13" t="e">
        <f t="shared" si="125"/>
        <v>#VALUE!</v>
      </c>
      <c r="AA137" s="10" t="e">
        <f t="shared" si="126"/>
        <v>#VALUE!</v>
      </c>
      <c r="AB137" s="10" t="e">
        <f t="shared" si="127"/>
        <v>#VALUE!</v>
      </c>
      <c r="AC137" s="13" t="e">
        <f t="shared" si="128"/>
        <v>#VALUE!</v>
      </c>
      <c r="AD137" s="9" t="e">
        <f t="shared" si="129"/>
        <v>#VALUE!</v>
      </c>
      <c r="AE137" s="13" t="e">
        <f t="shared" si="130"/>
        <v>#VALUE!</v>
      </c>
      <c r="AF137" s="13" t="e">
        <f t="shared" si="131"/>
        <v>#VALUE!</v>
      </c>
      <c r="AG137" s="27" t="e">
        <f t="shared" si="92"/>
        <v>#VALUE!</v>
      </c>
      <c r="AH137" s="29" t="e">
        <f t="shared" si="93"/>
        <v>#VALUE!</v>
      </c>
      <c r="AI137" s="29" t="e">
        <f t="shared" si="94"/>
        <v>#VALUE!</v>
      </c>
      <c r="AJ137" s="29" t="e">
        <f t="shared" si="95"/>
        <v>#VALUE!</v>
      </c>
      <c r="AK137" s="27" t="e">
        <f t="shared" si="96"/>
        <v>#VALUE!</v>
      </c>
      <c r="AL137" s="27" t="e">
        <f t="shared" si="97"/>
        <v>#VALUE!</v>
      </c>
      <c r="AM137" s="27" t="e">
        <f t="shared" si="98"/>
        <v>#VALUE!</v>
      </c>
      <c r="AP137" s="10">
        <f t="shared" si="99"/>
        <v>-999</v>
      </c>
      <c r="AQ137" s="13">
        <f t="shared" si="100"/>
        <v>-999</v>
      </c>
      <c r="AR137" s="10">
        <f t="shared" si="101"/>
        <v>-999</v>
      </c>
      <c r="AS137" s="13">
        <f t="shared" si="102"/>
        <v>-999</v>
      </c>
      <c r="AV137" s="13">
        <f t="shared" si="103"/>
        <v>-999</v>
      </c>
      <c r="AW137" s="13">
        <f t="shared" si="104"/>
        <v>-999</v>
      </c>
      <c r="AY137" s="13">
        <f t="shared" si="105"/>
        <v>-999</v>
      </c>
      <c r="AZ137" s="13">
        <f t="shared" si="106"/>
        <v>-999</v>
      </c>
      <c r="BA137" s="13"/>
      <c r="BB137" s="13"/>
      <c r="BC137" s="10">
        <f t="shared" si="107"/>
        <v>-999</v>
      </c>
      <c r="BD137" s="10">
        <f t="shared" si="108"/>
        <v>-999</v>
      </c>
      <c r="BE137" s="13">
        <f t="shared" si="109"/>
        <v>-999</v>
      </c>
      <c r="BG137" s="9">
        <f t="shared" si="110"/>
        <v>-999</v>
      </c>
      <c r="BH137" s="13">
        <f t="shared" si="111"/>
        <v>-999</v>
      </c>
      <c r="BJ137" s="13">
        <f t="shared" si="112"/>
        <v>-999</v>
      </c>
      <c r="BK137" s="13">
        <f t="shared" si="113"/>
        <v>-999</v>
      </c>
      <c r="BL137" s="13"/>
      <c r="BM137" s="13">
        <f t="shared" si="114"/>
        <v>-999</v>
      </c>
      <c r="BN137" s="13">
        <f t="shared" si="115"/>
        <v>-999</v>
      </c>
      <c r="BO137" s="13"/>
      <c r="BP137" s="13"/>
      <c r="BQ137" s="10"/>
      <c r="BR137" s="10">
        <f t="shared" si="122"/>
        <v>-42.849999999999994</v>
      </c>
      <c r="BS137">
        <v>10900</v>
      </c>
      <c r="BT137" s="13"/>
      <c r="BV137" s="25">
        <f t="shared" si="132"/>
        <v>229.96916352371915</v>
      </c>
      <c r="BW137">
        <v>10900</v>
      </c>
      <c r="BX137" s="13"/>
      <c r="BZ137" s="10">
        <f t="shared" si="133"/>
        <v>-999</v>
      </c>
      <c r="CA137" s="13">
        <f t="shared" si="134"/>
        <v>-999</v>
      </c>
      <c r="CB137" s="9">
        <f t="shared" si="135"/>
        <v>-999</v>
      </c>
      <c r="CC137" s="13">
        <f t="shared" si="136"/>
        <v>-999</v>
      </c>
      <c r="CD137">
        <f t="shared" si="116"/>
        <v>-999</v>
      </c>
      <c r="CE137" s="13">
        <f t="shared" si="117"/>
        <v>-999</v>
      </c>
      <c r="CF137" s="13"/>
      <c r="CV137" s="9" t="e">
        <f t="shared" si="123"/>
        <v>#VALUE!</v>
      </c>
      <c r="CW137" s="9" t="e">
        <f t="shared" si="118"/>
        <v>#VALUE!</v>
      </c>
      <c r="CX137" s="9"/>
      <c r="CY137" s="9" t="str">
        <f t="shared" si="119"/>
        <v/>
      </c>
      <c r="CZ137" s="9" t="str">
        <f t="shared" si="120"/>
        <v/>
      </c>
    </row>
    <row r="138" spans="1:104" x14ac:dyDescent="0.25">
      <c r="A138" s="6"/>
      <c r="B138" s="1"/>
      <c r="I138" s="6"/>
      <c r="L138" s="11" t="str">
        <f t="shared" si="121"/>
        <v/>
      </c>
      <c r="M138" s="11" t="str">
        <f t="shared" si="69"/>
        <v/>
      </c>
      <c r="N138" s="11" t="str">
        <f t="shared" si="70"/>
        <v/>
      </c>
      <c r="O138" s="11" t="str">
        <f t="shared" si="71"/>
        <v/>
      </c>
      <c r="P138" s="11" t="str">
        <f t="shared" si="72"/>
        <v/>
      </c>
      <c r="Q138" s="11" t="str">
        <f t="shared" si="73"/>
        <v/>
      </c>
      <c r="R138" s="11" t="str">
        <f t="shared" si="74"/>
        <v/>
      </c>
      <c r="S138" s="11" t="str">
        <f t="shared" si="75"/>
        <v/>
      </c>
      <c r="T138" s="11" t="str">
        <f t="shared" si="89"/>
        <v/>
      </c>
      <c r="U138" s="11" t="str">
        <f t="shared" si="90"/>
        <v/>
      </c>
      <c r="V138" s="11" t="str">
        <f t="shared" si="91"/>
        <v/>
      </c>
      <c r="W138" s="11"/>
      <c r="Y138" s="13" t="e">
        <f t="shared" si="124"/>
        <v>#VALUE!</v>
      </c>
      <c r="Z138" s="13" t="e">
        <f t="shared" si="125"/>
        <v>#VALUE!</v>
      </c>
      <c r="AA138" s="10" t="e">
        <f t="shared" si="126"/>
        <v>#VALUE!</v>
      </c>
      <c r="AB138" s="10" t="e">
        <f t="shared" si="127"/>
        <v>#VALUE!</v>
      </c>
      <c r="AC138" s="13" t="e">
        <f t="shared" si="128"/>
        <v>#VALUE!</v>
      </c>
      <c r="AD138" s="9" t="e">
        <f t="shared" si="129"/>
        <v>#VALUE!</v>
      </c>
      <c r="AE138" s="13" t="e">
        <f t="shared" si="130"/>
        <v>#VALUE!</v>
      </c>
      <c r="AF138" s="13" t="e">
        <f t="shared" si="131"/>
        <v>#VALUE!</v>
      </c>
      <c r="AG138" s="27" t="e">
        <f t="shared" si="92"/>
        <v>#VALUE!</v>
      </c>
      <c r="AH138" s="29" t="e">
        <f t="shared" si="93"/>
        <v>#VALUE!</v>
      </c>
      <c r="AI138" s="29" t="e">
        <f t="shared" si="94"/>
        <v>#VALUE!</v>
      </c>
      <c r="AJ138" s="29" t="e">
        <f t="shared" si="95"/>
        <v>#VALUE!</v>
      </c>
      <c r="AK138" s="27" t="e">
        <f t="shared" si="96"/>
        <v>#VALUE!</v>
      </c>
      <c r="AL138" s="27" t="e">
        <f t="shared" si="97"/>
        <v>#VALUE!</v>
      </c>
      <c r="AM138" s="27" t="e">
        <f t="shared" si="98"/>
        <v>#VALUE!</v>
      </c>
      <c r="AP138" s="10">
        <f t="shared" si="99"/>
        <v>-999</v>
      </c>
      <c r="AQ138" s="13">
        <f t="shared" si="100"/>
        <v>-999</v>
      </c>
      <c r="AR138" s="10">
        <f t="shared" si="101"/>
        <v>-999</v>
      </c>
      <c r="AS138" s="13">
        <f t="shared" si="102"/>
        <v>-999</v>
      </c>
      <c r="AV138" s="13">
        <f t="shared" si="103"/>
        <v>-999</v>
      </c>
      <c r="AW138" s="13">
        <f t="shared" si="104"/>
        <v>-999</v>
      </c>
      <c r="AY138" s="13">
        <f t="shared" si="105"/>
        <v>-999</v>
      </c>
      <c r="AZ138" s="13">
        <f t="shared" si="106"/>
        <v>-999</v>
      </c>
      <c r="BA138" s="13"/>
      <c r="BB138" s="13"/>
      <c r="BC138" s="10">
        <f t="shared" si="107"/>
        <v>-999</v>
      </c>
      <c r="BD138" s="10">
        <f t="shared" si="108"/>
        <v>-999</v>
      </c>
      <c r="BE138" s="13">
        <f t="shared" si="109"/>
        <v>-999</v>
      </c>
      <c r="BG138" s="9">
        <f t="shared" si="110"/>
        <v>-999</v>
      </c>
      <c r="BH138" s="13">
        <f t="shared" si="111"/>
        <v>-999</v>
      </c>
      <c r="BJ138" s="13">
        <f t="shared" si="112"/>
        <v>-999</v>
      </c>
      <c r="BK138" s="13">
        <f t="shared" si="113"/>
        <v>-999</v>
      </c>
      <c r="BL138" s="13"/>
      <c r="BM138" s="13">
        <f t="shared" si="114"/>
        <v>-999</v>
      </c>
      <c r="BN138" s="13">
        <f t="shared" si="115"/>
        <v>-999</v>
      </c>
      <c r="BO138" s="13"/>
      <c r="BP138" s="13"/>
      <c r="BQ138" s="10"/>
      <c r="BR138" s="10">
        <f t="shared" si="122"/>
        <v>-43.5</v>
      </c>
      <c r="BS138">
        <v>11000</v>
      </c>
      <c r="BT138" s="13"/>
      <c r="BV138" s="25">
        <f t="shared" si="132"/>
        <v>226.37719658350963</v>
      </c>
      <c r="BW138">
        <v>11000</v>
      </c>
      <c r="BX138" s="13"/>
      <c r="BZ138" s="10">
        <f t="shared" si="133"/>
        <v>-999</v>
      </c>
      <c r="CA138" s="13">
        <f t="shared" si="134"/>
        <v>-999</v>
      </c>
      <c r="CB138" s="9">
        <f t="shared" si="135"/>
        <v>-999</v>
      </c>
      <c r="CC138" s="13">
        <f t="shared" si="136"/>
        <v>-999</v>
      </c>
      <c r="CD138">
        <f t="shared" si="116"/>
        <v>-999</v>
      </c>
      <c r="CE138" s="13">
        <f t="shared" si="117"/>
        <v>-999</v>
      </c>
      <c r="CF138" s="13"/>
      <c r="CV138" s="9" t="e">
        <f t="shared" si="123"/>
        <v>#VALUE!</v>
      </c>
      <c r="CW138" s="9" t="e">
        <f t="shared" si="118"/>
        <v>#VALUE!</v>
      </c>
      <c r="CX138" s="9"/>
      <c r="CY138" s="9" t="str">
        <f t="shared" si="119"/>
        <v/>
      </c>
      <c r="CZ138" s="9" t="str">
        <f t="shared" si="120"/>
        <v/>
      </c>
    </row>
    <row r="139" spans="1:104" x14ac:dyDescent="0.25">
      <c r="A139" s="6"/>
      <c r="B139" s="1"/>
      <c r="I139" s="6"/>
      <c r="L139" s="11" t="str">
        <f t="shared" si="121"/>
        <v/>
      </c>
      <c r="M139" s="11" t="str">
        <f t="shared" si="69"/>
        <v/>
      </c>
      <c r="N139" s="11" t="str">
        <f t="shared" si="70"/>
        <v/>
      </c>
      <c r="O139" s="11" t="str">
        <f t="shared" si="71"/>
        <v/>
      </c>
      <c r="P139" s="11" t="str">
        <f t="shared" si="72"/>
        <v/>
      </c>
      <c r="Q139" s="11" t="str">
        <f t="shared" si="73"/>
        <v/>
      </c>
      <c r="R139" s="11" t="str">
        <f t="shared" si="74"/>
        <v/>
      </c>
      <c r="S139" s="11" t="str">
        <f t="shared" si="75"/>
        <v/>
      </c>
      <c r="T139" s="11" t="str">
        <f t="shared" si="89"/>
        <v/>
      </c>
      <c r="U139" s="11" t="str">
        <f t="shared" si="90"/>
        <v/>
      </c>
      <c r="V139" s="11" t="str">
        <f t="shared" si="91"/>
        <v/>
      </c>
      <c r="W139" s="11"/>
      <c r="Y139" s="13" t="e">
        <f t="shared" si="124"/>
        <v>#VALUE!</v>
      </c>
      <c r="Z139" s="13" t="e">
        <f t="shared" si="125"/>
        <v>#VALUE!</v>
      </c>
      <c r="AA139" s="10" t="e">
        <f t="shared" si="126"/>
        <v>#VALUE!</v>
      </c>
      <c r="AB139" s="10" t="e">
        <f t="shared" si="127"/>
        <v>#VALUE!</v>
      </c>
      <c r="AC139" s="13" t="e">
        <f t="shared" si="128"/>
        <v>#VALUE!</v>
      </c>
      <c r="AD139" s="9" t="e">
        <f t="shared" si="129"/>
        <v>#VALUE!</v>
      </c>
      <c r="AE139" s="13" t="e">
        <f t="shared" si="130"/>
        <v>#VALUE!</v>
      </c>
      <c r="AF139" s="13" t="e">
        <f t="shared" si="131"/>
        <v>#VALUE!</v>
      </c>
      <c r="AG139" s="27" t="e">
        <f t="shared" si="92"/>
        <v>#VALUE!</v>
      </c>
      <c r="AH139" s="29" t="e">
        <f t="shared" si="93"/>
        <v>#VALUE!</v>
      </c>
      <c r="AI139" s="29" t="e">
        <f t="shared" si="94"/>
        <v>#VALUE!</v>
      </c>
      <c r="AJ139" s="29" t="e">
        <f t="shared" si="95"/>
        <v>#VALUE!</v>
      </c>
      <c r="AK139" s="27" t="e">
        <f t="shared" si="96"/>
        <v>#VALUE!</v>
      </c>
      <c r="AL139" s="27" t="e">
        <f t="shared" si="97"/>
        <v>#VALUE!</v>
      </c>
      <c r="AM139" s="27" t="e">
        <f t="shared" si="98"/>
        <v>#VALUE!</v>
      </c>
      <c r="AP139" s="10">
        <f t="shared" si="99"/>
        <v>-999</v>
      </c>
      <c r="AQ139" s="13">
        <f t="shared" si="100"/>
        <v>-999</v>
      </c>
      <c r="AR139" s="10">
        <f t="shared" si="101"/>
        <v>-999</v>
      </c>
      <c r="AS139" s="13">
        <f t="shared" si="102"/>
        <v>-999</v>
      </c>
      <c r="AV139" s="13">
        <f t="shared" si="103"/>
        <v>-999</v>
      </c>
      <c r="AW139" s="13">
        <f t="shared" si="104"/>
        <v>-999</v>
      </c>
      <c r="AY139" s="13">
        <f t="shared" si="105"/>
        <v>-999</v>
      </c>
      <c r="AZ139" s="13">
        <f t="shared" si="106"/>
        <v>-999</v>
      </c>
      <c r="BA139" s="13"/>
      <c r="BB139" s="13"/>
      <c r="BC139" s="10">
        <f t="shared" si="107"/>
        <v>-999</v>
      </c>
      <c r="BD139" s="10">
        <f t="shared" si="108"/>
        <v>-999</v>
      </c>
      <c r="BE139" s="13">
        <f t="shared" si="109"/>
        <v>-999</v>
      </c>
      <c r="BG139" s="9">
        <f t="shared" si="110"/>
        <v>-999</v>
      </c>
      <c r="BH139" s="13">
        <f t="shared" si="111"/>
        <v>-999</v>
      </c>
      <c r="BJ139" s="13">
        <f t="shared" si="112"/>
        <v>-999</v>
      </c>
      <c r="BK139" s="13">
        <f t="shared" si="113"/>
        <v>-999</v>
      </c>
      <c r="BL139" s="13"/>
      <c r="BM139" s="13">
        <f t="shared" si="114"/>
        <v>-999</v>
      </c>
      <c r="BN139" s="13">
        <f t="shared" si="115"/>
        <v>-999</v>
      </c>
      <c r="BO139" s="13"/>
      <c r="BP139" s="13"/>
      <c r="BQ139" s="10"/>
      <c r="BR139" s="10"/>
      <c r="BS139" s="13"/>
      <c r="BT139" s="13"/>
      <c r="BU139" s="23"/>
      <c r="BV139" s="23"/>
      <c r="BW139" s="13"/>
      <c r="BX139" s="13"/>
      <c r="BZ139" s="10">
        <f t="shared" si="133"/>
        <v>-999</v>
      </c>
      <c r="CA139" s="13">
        <f t="shared" si="134"/>
        <v>-999</v>
      </c>
      <c r="CB139" s="9">
        <f t="shared" si="135"/>
        <v>-999</v>
      </c>
      <c r="CC139" s="13">
        <f t="shared" si="136"/>
        <v>-999</v>
      </c>
      <c r="CD139">
        <f t="shared" si="116"/>
        <v>-999</v>
      </c>
      <c r="CE139" s="13">
        <f t="shared" si="117"/>
        <v>-999</v>
      </c>
      <c r="CF139" s="13"/>
      <c r="CV139" s="9" t="e">
        <f t="shared" si="123"/>
        <v>#VALUE!</v>
      </c>
      <c r="CW139" s="9" t="e">
        <f t="shared" si="118"/>
        <v>#VALUE!</v>
      </c>
      <c r="CX139" s="9"/>
      <c r="CY139" s="9" t="str">
        <f t="shared" si="119"/>
        <v/>
      </c>
      <c r="CZ139" s="9" t="str">
        <f t="shared" si="120"/>
        <v/>
      </c>
    </row>
    <row r="140" spans="1:104" x14ac:dyDescent="0.25">
      <c r="A140" s="6"/>
      <c r="B140" s="1"/>
      <c r="I140" s="6"/>
      <c r="L140" s="11" t="str">
        <f t="shared" si="121"/>
        <v/>
      </c>
      <c r="M140" s="11" t="str">
        <f t="shared" si="69"/>
        <v/>
      </c>
      <c r="N140" s="11" t="str">
        <f t="shared" si="70"/>
        <v/>
      </c>
      <c r="O140" s="11" t="str">
        <f t="shared" si="71"/>
        <v/>
      </c>
      <c r="P140" s="11" t="str">
        <f t="shared" si="72"/>
        <v/>
      </c>
      <c r="Q140" s="11" t="str">
        <f t="shared" si="73"/>
        <v/>
      </c>
      <c r="R140" s="11" t="str">
        <f t="shared" si="74"/>
        <v/>
      </c>
      <c r="S140" s="11" t="str">
        <f t="shared" si="75"/>
        <v/>
      </c>
      <c r="T140" s="11" t="str">
        <f t="shared" si="89"/>
        <v/>
      </c>
      <c r="U140" s="11" t="str">
        <f t="shared" si="90"/>
        <v/>
      </c>
      <c r="V140" s="11" t="str">
        <f t="shared" si="91"/>
        <v/>
      </c>
      <c r="W140" s="11"/>
      <c r="Y140" s="13" t="e">
        <f t="shared" si="124"/>
        <v>#VALUE!</v>
      </c>
      <c r="Z140" s="13" t="e">
        <f t="shared" si="125"/>
        <v>#VALUE!</v>
      </c>
      <c r="AA140" s="10" t="e">
        <f t="shared" si="126"/>
        <v>#VALUE!</v>
      </c>
      <c r="AB140" s="10" t="e">
        <f t="shared" si="127"/>
        <v>#VALUE!</v>
      </c>
      <c r="AC140" s="13" t="e">
        <f t="shared" si="128"/>
        <v>#VALUE!</v>
      </c>
      <c r="AD140" s="9" t="e">
        <f t="shared" si="129"/>
        <v>#VALUE!</v>
      </c>
      <c r="AE140" s="13" t="e">
        <f t="shared" si="130"/>
        <v>#VALUE!</v>
      </c>
      <c r="AF140" s="13" t="e">
        <f t="shared" si="131"/>
        <v>#VALUE!</v>
      </c>
      <c r="AG140" s="27" t="e">
        <f t="shared" si="92"/>
        <v>#VALUE!</v>
      </c>
      <c r="AH140" s="29" t="e">
        <f t="shared" si="93"/>
        <v>#VALUE!</v>
      </c>
      <c r="AI140" s="29" t="e">
        <f t="shared" si="94"/>
        <v>#VALUE!</v>
      </c>
      <c r="AJ140" s="29" t="e">
        <f t="shared" si="95"/>
        <v>#VALUE!</v>
      </c>
      <c r="AK140" s="27" t="e">
        <f t="shared" si="96"/>
        <v>#VALUE!</v>
      </c>
      <c r="AL140" s="27" t="e">
        <f t="shared" si="97"/>
        <v>#VALUE!</v>
      </c>
      <c r="AM140" s="27" t="e">
        <f t="shared" si="98"/>
        <v>#VALUE!</v>
      </c>
      <c r="AP140" s="10">
        <f t="shared" si="99"/>
        <v>-999</v>
      </c>
      <c r="AQ140" s="13">
        <f t="shared" si="100"/>
        <v>-999</v>
      </c>
      <c r="AR140" s="10">
        <f t="shared" si="101"/>
        <v>-999</v>
      </c>
      <c r="AS140" s="13">
        <f t="shared" si="102"/>
        <v>-999</v>
      </c>
      <c r="AV140" s="13">
        <f t="shared" si="103"/>
        <v>-999</v>
      </c>
      <c r="AW140" s="13">
        <f t="shared" si="104"/>
        <v>-999</v>
      </c>
      <c r="AY140" s="13">
        <f t="shared" si="105"/>
        <v>-999</v>
      </c>
      <c r="AZ140" s="13">
        <f t="shared" si="106"/>
        <v>-999</v>
      </c>
      <c r="BA140" s="13"/>
      <c r="BB140" s="13"/>
      <c r="BC140" s="10">
        <f t="shared" si="107"/>
        <v>-999</v>
      </c>
      <c r="BD140" s="10">
        <f t="shared" si="108"/>
        <v>-999</v>
      </c>
      <c r="BE140" s="13">
        <f t="shared" si="109"/>
        <v>-999</v>
      </c>
      <c r="BG140" s="9">
        <f t="shared" si="110"/>
        <v>-999</v>
      </c>
      <c r="BH140" s="13">
        <f t="shared" si="111"/>
        <v>-999</v>
      </c>
      <c r="BJ140" s="13">
        <f t="shared" si="112"/>
        <v>-999</v>
      </c>
      <c r="BK140" s="13">
        <f t="shared" si="113"/>
        <v>-999</v>
      </c>
      <c r="BL140" s="13"/>
      <c r="BM140" s="13">
        <f t="shared" si="114"/>
        <v>-999</v>
      </c>
      <c r="BN140" s="13">
        <f t="shared" si="115"/>
        <v>-999</v>
      </c>
      <c r="BO140" s="13"/>
      <c r="BP140" s="13"/>
      <c r="BQ140" s="10"/>
      <c r="BR140" s="10"/>
      <c r="BS140" s="13"/>
      <c r="BT140" s="13"/>
      <c r="BU140" s="23"/>
      <c r="BV140" s="23"/>
      <c r="BW140" s="13"/>
      <c r="BX140" s="13"/>
      <c r="BZ140" s="10">
        <f t="shared" si="133"/>
        <v>-999</v>
      </c>
      <c r="CA140" s="13">
        <f t="shared" si="134"/>
        <v>-999</v>
      </c>
      <c r="CB140" s="9">
        <f t="shared" si="135"/>
        <v>-999</v>
      </c>
      <c r="CC140" s="13">
        <f t="shared" si="136"/>
        <v>-999</v>
      </c>
      <c r="CD140">
        <f t="shared" si="116"/>
        <v>-999</v>
      </c>
      <c r="CE140" s="13">
        <f t="shared" si="117"/>
        <v>-999</v>
      </c>
      <c r="CF140" s="13"/>
      <c r="CV140" s="9" t="e">
        <f t="shared" si="123"/>
        <v>#VALUE!</v>
      </c>
      <c r="CW140" s="9" t="e">
        <f t="shared" si="118"/>
        <v>#VALUE!</v>
      </c>
      <c r="CX140" s="9"/>
      <c r="CY140" s="9" t="str">
        <f t="shared" si="119"/>
        <v/>
      </c>
      <c r="CZ140" s="9" t="str">
        <f t="shared" si="120"/>
        <v/>
      </c>
    </row>
    <row r="141" spans="1:104" x14ac:dyDescent="0.25">
      <c r="A141" s="6"/>
      <c r="B141" s="1"/>
      <c r="I141" s="6"/>
      <c r="L141" s="11" t="str">
        <f t="shared" si="121"/>
        <v/>
      </c>
      <c r="M141" s="11" t="str">
        <f t="shared" si="69"/>
        <v/>
      </c>
      <c r="N141" s="11" t="str">
        <f t="shared" si="70"/>
        <v/>
      </c>
      <c r="O141" s="11" t="str">
        <f t="shared" si="71"/>
        <v/>
      </c>
      <c r="P141" s="11" t="str">
        <f t="shared" si="72"/>
        <v/>
      </c>
      <c r="Q141" s="11" t="str">
        <f t="shared" si="73"/>
        <v/>
      </c>
      <c r="R141" s="11" t="str">
        <f t="shared" si="74"/>
        <v/>
      </c>
      <c r="S141" s="11" t="str">
        <f t="shared" si="75"/>
        <v/>
      </c>
      <c r="T141" s="11" t="str">
        <f t="shared" si="89"/>
        <v/>
      </c>
      <c r="U141" s="11" t="str">
        <f t="shared" si="90"/>
        <v/>
      </c>
      <c r="V141" s="11" t="str">
        <f t="shared" si="91"/>
        <v/>
      </c>
      <c r="W141" s="11"/>
      <c r="Y141" s="13" t="e">
        <f t="shared" si="124"/>
        <v>#VALUE!</v>
      </c>
      <c r="Z141" s="13" t="e">
        <f t="shared" si="125"/>
        <v>#VALUE!</v>
      </c>
      <c r="AA141" s="10" t="e">
        <f t="shared" si="126"/>
        <v>#VALUE!</v>
      </c>
      <c r="AB141" s="10" t="e">
        <f t="shared" si="127"/>
        <v>#VALUE!</v>
      </c>
      <c r="AC141" s="13" t="e">
        <f t="shared" si="128"/>
        <v>#VALUE!</v>
      </c>
      <c r="AD141" s="9" t="e">
        <f t="shared" si="129"/>
        <v>#VALUE!</v>
      </c>
      <c r="AE141" s="13" t="e">
        <f t="shared" si="130"/>
        <v>#VALUE!</v>
      </c>
      <c r="AF141" s="13" t="e">
        <f t="shared" si="131"/>
        <v>#VALUE!</v>
      </c>
      <c r="AG141" s="27" t="e">
        <f t="shared" si="92"/>
        <v>#VALUE!</v>
      </c>
      <c r="AH141" s="29" t="e">
        <f t="shared" si="93"/>
        <v>#VALUE!</v>
      </c>
      <c r="AI141" s="29" t="e">
        <f t="shared" si="94"/>
        <v>#VALUE!</v>
      </c>
      <c r="AJ141" s="29" t="e">
        <f t="shared" si="95"/>
        <v>#VALUE!</v>
      </c>
      <c r="AK141" s="27" t="e">
        <f t="shared" si="96"/>
        <v>#VALUE!</v>
      </c>
      <c r="AL141" s="27" t="e">
        <f t="shared" si="97"/>
        <v>#VALUE!</v>
      </c>
      <c r="AM141" s="27" t="e">
        <f t="shared" si="98"/>
        <v>#VALUE!</v>
      </c>
      <c r="AP141" s="10">
        <f t="shared" si="99"/>
        <v>-999</v>
      </c>
      <c r="AQ141" s="13">
        <f t="shared" si="100"/>
        <v>-999</v>
      </c>
      <c r="AR141" s="10">
        <f t="shared" si="101"/>
        <v>-999</v>
      </c>
      <c r="AS141" s="13">
        <f t="shared" si="102"/>
        <v>-999</v>
      </c>
      <c r="AV141" s="13">
        <f t="shared" si="103"/>
        <v>-999</v>
      </c>
      <c r="AW141" s="13">
        <f t="shared" si="104"/>
        <v>-999</v>
      </c>
      <c r="AY141" s="13">
        <f t="shared" si="105"/>
        <v>-999</v>
      </c>
      <c r="AZ141" s="13">
        <f t="shared" si="106"/>
        <v>-999</v>
      </c>
      <c r="BA141" s="13"/>
      <c r="BB141" s="13"/>
      <c r="BC141" s="10">
        <f t="shared" si="107"/>
        <v>-999</v>
      </c>
      <c r="BD141" s="10">
        <f t="shared" si="108"/>
        <v>-999</v>
      </c>
      <c r="BE141" s="13">
        <f t="shared" si="109"/>
        <v>-999</v>
      </c>
      <c r="BG141" s="9">
        <f t="shared" si="110"/>
        <v>-999</v>
      </c>
      <c r="BH141" s="13">
        <f t="shared" si="111"/>
        <v>-999</v>
      </c>
      <c r="BJ141" s="13">
        <f t="shared" si="112"/>
        <v>-999</v>
      </c>
      <c r="BK141" s="13">
        <f t="shared" si="113"/>
        <v>-999</v>
      </c>
      <c r="BL141" s="13"/>
      <c r="BM141" s="13">
        <f t="shared" si="114"/>
        <v>-999</v>
      </c>
      <c r="BN141" s="13">
        <f t="shared" si="115"/>
        <v>-999</v>
      </c>
      <c r="BO141" s="13"/>
      <c r="BP141" s="13"/>
      <c r="BQ141" s="10"/>
      <c r="BR141" s="10"/>
      <c r="BS141" s="13"/>
      <c r="BT141" s="13"/>
      <c r="BU141" s="23"/>
      <c r="BV141" s="23"/>
      <c r="BW141" s="13"/>
      <c r="BX141" s="13"/>
      <c r="BZ141" s="10">
        <f t="shared" si="133"/>
        <v>-999</v>
      </c>
      <c r="CA141" s="13">
        <f t="shared" si="134"/>
        <v>-999</v>
      </c>
      <c r="CB141" s="9">
        <f t="shared" si="135"/>
        <v>-999</v>
      </c>
      <c r="CC141" s="13">
        <f t="shared" si="136"/>
        <v>-999</v>
      </c>
      <c r="CD141">
        <f t="shared" si="116"/>
        <v>-999</v>
      </c>
      <c r="CE141" s="13">
        <f t="shared" si="117"/>
        <v>-999</v>
      </c>
      <c r="CF141" s="13"/>
      <c r="CV141" s="9" t="e">
        <f t="shared" si="123"/>
        <v>#VALUE!</v>
      </c>
      <c r="CW141" s="9" t="e">
        <f t="shared" si="118"/>
        <v>#VALUE!</v>
      </c>
      <c r="CX141" s="9"/>
      <c r="CY141" s="9" t="str">
        <f t="shared" si="119"/>
        <v/>
      </c>
      <c r="CZ141" s="9" t="str">
        <f t="shared" si="120"/>
        <v/>
      </c>
    </row>
    <row r="142" spans="1:104" x14ac:dyDescent="0.25">
      <c r="A142" s="6"/>
      <c r="B142" s="1"/>
      <c r="I142" s="6"/>
      <c r="L142" s="11" t="str">
        <f t="shared" si="121"/>
        <v/>
      </c>
      <c r="M142" s="11" t="str">
        <f t="shared" si="69"/>
        <v/>
      </c>
      <c r="N142" s="11" t="str">
        <f t="shared" si="70"/>
        <v/>
      </c>
      <c r="O142" s="11" t="str">
        <f t="shared" si="71"/>
        <v/>
      </c>
      <c r="P142" s="11" t="str">
        <f t="shared" si="72"/>
        <v/>
      </c>
      <c r="Q142" s="11" t="str">
        <f t="shared" si="73"/>
        <v/>
      </c>
      <c r="R142" s="11" t="str">
        <f t="shared" si="74"/>
        <v/>
      </c>
      <c r="S142" s="11" t="str">
        <f t="shared" si="75"/>
        <v/>
      </c>
      <c r="T142" s="11" t="str">
        <f t="shared" si="89"/>
        <v/>
      </c>
      <c r="U142" s="11" t="str">
        <f t="shared" si="90"/>
        <v/>
      </c>
      <c r="V142" s="11" t="str">
        <f t="shared" si="91"/>
        <v/>
      </c>
      <c r="W142" s="11"/>
      <c r="Y142" s="13" t="e">
        <f t="shared" si="124"/>
        <v>#VALUE!</v>
      </c>
      <c r="Z142" s="13" t="e">
        <f t="shared" si="125"/>
        <v>#VALUE!</v>
      </c>
      <c r="AA142" s="10" t="e">
        <f t="shared" si="126"/>
        <v>#VALUE!</v>
      </c>
      <c r="AB142" s="10" t="e">
        <f t="shared" si="127"/>
        <v>#VALUE!</v>
      </c>
      <c r="AC142" s="13" t="e">
        <f t="shared" si="128"/>
        <v>#VALUE!</v>
      </c>
      <c r="AD142" s="9" t="e">
        <f t="shared" si="129"/>
        <v>#VALUE!</v>
      </c>
      <c r="AE142" s="13" t="e">
        <f t="shared" si="130"/>
        <v>#VALUE!</v>
      </c>
      <c r="AF142" s="13" t="e">
        <f t="shared" si="131"/>
        <v>#VALUE!</v>
      </c>
      <c r="AG142" s="27" t="e">
        <f t="shared" si="92"/>
        <v>#VALUE!</v>
      </c>
      <c r="AH142" s="29" t="e">
        <f t="shared" si="93"/>
        <v>#VALUE!</v>
      </c>
      <c r="AI142" s="29" t="e">
        <f t="shared" si="94"/>
        <v>#VALUE!</v>
      </c>
      <c r="AJ142" s="29" t="e">
        <f t="shared" si="95"/>
        <v>#VALUE!</v>
      </c>
      <c r="AK142" s="27" t="e">
        <f t="shared" si="96"/>
        <v>#VALUE!</v>
      </c>
      <c r="AL142" s="27" t="e">
        <f t="shared" si="97"/>
        <v>#VALUE!</v>
      </c>
      <c r="AM142" s="27" t="e">
        <f t="shared" si="98"/>
        <v>#VALUE!</v>
      </c>
      <c r="AP142" s="10">
        <f t="shared" si="99"/>
        <v>-999</v>
      </c>
      <c r="AQ142" s="13">
        <f t="shared" si="100"/>
        <v>-999</v>
      </c>
      <c r="AR142" s="10">
        <f t="shared" si="101"/>
        <v>-999</v>
      </c>
      <c r="AS142" s="13">
        <f t="shared" si="102"/>
        <v>-999</v>
      </c>
      <c r="AV142" s="13">
        <f t="shared" si="103"/>
        <v>-999</v>
      </c>
      <c r="AW142" s="13">
        <f t="shared" si="104"/>
        <v>-999</v>
      </c>
      <c r="AY142" s="13">
        <f t="shared" si="105"/>
        <v>-999</v>
      </c>
      <c r="AZ142" s="13">
        <f t="shared" si="106"/>
        <v>-999</v>
      </c>
      <c r="BA142" s="13"/>
      <c r="BB142" s="13"/>
      <c r="BC142" s="10">
        <f t="shared" si="107"/>
        <v>-999</v>
      </c>
      <c r="BD142" s="10">
        <f t="shared" si="108"/>
        <v>-999</v>
      </c>
      <c r="BE142" s="13">
        <f t="shared" si="109"/>
        <v>-999</v>
      </c>
      <c r="BG142" s="9">
        <f t="shared" si="110"/>
        <v>-999</v>
      </c>
      <c r="BH142" s="13">
        <f t="shared" si="111"/>
        <v>-999</v>
      </c>
      <c r="BJ142" s="13">
        <f t="shared" si="112"/>
        <v>-999</v>
      </c>
      <c r="BK142" s="13">
        <f t="shared" si="113"/>
        <v>-999</v>
      </c>
      <c r="BL142" s="13"/>
      <c r="BM142" s="13">
        <f t="shared" si="114"/>
        <v>-999</v>
      </c>
      <c r="BN142" s="13">
        <f t="shared" si="115"/>
        <v>-999</v>
      </c>
      <c r="BO142" s="13"/>
      <c r="BP142" s="13"/>
      <c r="BQ142" s="10"/>
      <c r="BR142" s="10"/>
      <c r="BS142" s="13"/>
      <c r="BT142" s="13"/>
      <c r="BU142" s="23"/>
      <c r="BV142" s="23"/>
      <c r="BW142" s="13"/>
      <c r="BX142" s="13"/>
      <c r="BZ142" s="10">
        <f t="shared" si="133"/>
        <v>-999</v>
      </c>
      <c r="CA142" s="13">
        <f t="shared" si="134"/>
        <v>-999</v>
      </c>
      <c r="CB142" s="9">
        <f t="shared" si="135"/>
        <v>-999</v>
      </c>
      <c r="CC142" s="13">
        <f t="shared" si="136"/>
        <v>-999</v>
      </c>
      <c r="CD142">
        <f t="shared" si="116"/>
        <v>-999</v>
      </c>
      <c r="CE142" s="13">
        <f t="shared" si="117"/>
        <v>-999</v>
      </c>
      <c r="CF142" s="13"/>
      <c r="CV142" s="9" t="e">
        <f t="shared" si="123"/>
        <v>#VALUE!</v>
      </c>
      <c r="CW142" s="9" t="e">
        <f t="shared" si="118"/>
        <v>#VALUE!</v>
      </c>
      <c r="CX142" s="9"/>
      <c r="CY142" s="9" t="str">
        <f t="shared" si="119"/>
        <v/>
      </c>
      <c r="CZ142" s="9" t="str">
        <f t="shared" si="120"/>
        <v/>
      </c>
    </row>
    <row r="143" spans="1:104" x14ac:dyDescent="0.25">
      <c r="A143" s="6"/>
      <c r="B143" s="1"/>
      <c r="I143" s="6"/>
      <c r="L143" s="11" t="str">
        <f t="shared" si="121"/>
        <v/>
      </c>
      <c r="M143" s="11" t="str">
        <f t="shared" si="69"/>
        <v/>
      </c>
      <c r="N143" s="11" t="str">
        <f t="shared" si="70"/>
        <v/>
      </c>
      <c r="O143" s="11" t="str">
        <f t="shared" si="71"/>
        <v/>
      </c>
      <c r="P143" s="11" t="str">
        <f t="shared" si="72"/>
        <v/>
      </c>
      <c r="Q143" s="11" t="str">
        <f t="shared" si="73"/>
        <v/>
      </c>
      <c r="R143" s="11" t="str">
        <f t="shared" si="74"/>
        <v/>
      </c>
      <c r="S143" s="11" t="str">
        <f t="shared" si="75"/>
        <v/>
      </c>
      <c r="T143" s="11" t="str">
        <f t="shared" si="89"/>
        <v/>
      </c>
      <c r="U143" s="11" t="str">
        <f t="shared" si="90"/>
        <v/>
      </c>
      <c r="V143" s="11" t="str">
        <f t="shared" si="91"/>
        <v/>
      </c>
      <c r="W143" s="11"/>
      <c r="Y143" s="13" t="e">
        <f t="shared" si="124"/>
        <v>#VALUE!</v>
      </c>
      <c r="Z143" s="13" t="e">
        <f t="shared" si="125"/>
        <v>#VALUE!</v>
      </c>
      <c r="AA143" s="10" t="e">
        <f t="shared" si="126"/>
        <v>#VALUE!</v>
      </c>
      <c r="AB143" s="10" t="e">
        <f t="shared" si="127"/>
        <v>#VALUE!</v>
      </c>
      <c r="AC143" s="13" t="e">
        <f t="shared" si="128"/>
        <v>#VALUE!</v>
      </c>
      <c r="AD143" s="9" t="e">
        <f t="shared" si="129"/>
        <v>#VALUE!</v>
      </c>
      <c r="AE143" s="13" t="e">
        <f t="shared" si="130"/>
        <v>#VALUE!</v>
      </c>
      <c r="AF143" s="13" t="e">
        <f t="shared" si="131"/>
        <v>#VALUE!</v>
      </c>
      <c r="AG143" s="27" t="e">
        <f t="shared" si="92"/>
        <v>#VALUE!</v>
      </c>
      <c r="AH143" s="29" t="e">
        <f t="shared" si="93"/>
        <v>#VALUE!</v>
      </c>
      <c r="AI143" s="29" t="e">
        <f t="shared" si="94"/>
        <v>#VALUE!</v>
      </c>
      <c r="AJ143" s="29" t="e">
        <f t="shared" si="95"/>
        <v>#VALUE!</v>
      </c>
      <c r="AK143" s="27" t="e">
        <f t="shared" si="96"/>
        <v>#VALUE!</v>
      </c>
      <c r="AL143" s="27" t="e">
        <f t="shared" si="97"/>
        <v>#VALUE!</v>
      </c>
      <c r="AM143" s="27" t="e">
        <f t="shared" si="98"/>
        <v>#VALUE!</v>
      </c>
      <c r="AP143" s="10">
        <f t="shared" si="99"/>
        <v>-999</v>
      </c>
      <c r="AQ143" s="13">
        <f t="shared" si="100"/>
        <v>-999</v>
      </c>
      <c r="AR143" s="10">
        <f t="shared" si="101"/>
        <v>-999</v>
      </c>
      <c r="AS143" s="13">
        <f t="shared" si="102"/>
        <v>-999</v>
      </c>
      <c r="AV143" s="13">
        <f t="shared" si="103"/>
        <v>-999</v>
      </c>
      <c r="AW143" s="13">
        <f t="shared" si="104"/>
        <v>-999</v>
      </c>
      <c r="AY143" s="13">
        <f t="shared" si="105"/>
        <v>-999</v>
      </c>
      <c r="AZ143" s="13">
        <f t="shared" si="106"/>
        <v>-999</v>
      </c>
      <c r="BA143" s="13"/>
      <c r="BB143" s="13"/>
      <c r="BC143" s="10">
        <f t="shared" si="107"/>
        <v>-999</v>
      </c>
      <c r="BD143" s="10">
        <f t="shared" si="108"/>
        <v>-999</v>
      </c>
      <c r="BE143" s="13">
        <f t="shared" si="109"/>
        <v>-999</v>
      </c>
      <c r="BG143" s="9">
        <f t="shared" si="110"/>
        <v>-999</v>
      </c>
      <c r="BH143" s="13">
        <f t="shared" si="111"/>
        <v>-999</v>
      </c>
      <c r="BJ143" s="13">
        <f t="shared" si="112"/>
        <v>-999</v>
      </c>
      <c r="BK143" s="13">
        <f t="shared" si="113"/>
        <v>-999</v>
      </c>
      <c r="BL143" s="13"/>
      <c r="BM143" s="13">
        <f t="shared" si="114"/>
        <v>-999</v>
      </c>
      <c r="BN143" s="13">
        <f t="shared" si="115"/>
        <v>-999</v>
      </c>
      <c r="BO143" s="13"/>
      <c r="BP143" s="13"/>
      <c r="BQ143" s="10"/>
      <c r="BR143" s="10"/>
      <c r="BS143" s="13"/>
      <c r="BT143" s="13"/>
      <c r="BU143" s="23"/>
      <c r="BV143" s="23"/>
      <c r="BW143" s="13"/>
      <c r="BX143" s="13"/>
      <c r="BZ143" s="10">
        <f t="shared" si="133"/>
        <v>-999</v>
      </c>
      <c r="CA143" s="13">
        <f t="shared" si="134"/>
        <v>-999</v>
      </c>
      <c r="CB143" s="9">
        <f t="shared" si="135"/>
        <v>-999</v>
      </c>
      <c r="CC143" s="13">
        <f t="shared" si="136"/>
        <v>-999</v>
      </c>
      <c r="CD143">
        <f t="shared" si="116"/>
        <v>-999</v>
      </c>
      <c r="CE143" s="13">
        <f t="shared" si="117"/>
        <v>-999</v>
      </c>
      <c r="CF143" s="13"/>
      <c r="CV143" s="9" t="e">
        <f t="shared" si="123"/>
        <v>#VALUE!</v>
      </c>
      <c r="CW143" s="9" t="e">
        <f t="shared" si="118"/>
        <v>#VALUE!</v>
      </c>
      <c r="CX143" s="9"/>
      <c r="CY143" s="9" t="str">
        <f t="shared" si="119"/>
        <v/>
      </c>
      <c r="CZ143" s="9" t="str">
        <f t="shared" si="120"/>
        <v/>
      </c>
    </row>
    <row r="144" spans="1:104" x14ac:dyDescent="0.25">
      <c r="A144" s="6"/>
      <c r="B144" s="1"/>
      <c r="I144" s="6"/>
      <c r="L144" s="11" t="str">
        <f t="shared" si="121"/>
        <v/>
      </c>
      <c r="M144" s="11" t="str">
        <f t="shared" si="69"/>
        <v/>
      </c>
      <c r="N144" s="11" t="str">
        <f t="shared" si="70"/>
        <v/>
      </c>
      <c r="O144" s="11" t="str">
        <f t="shared" si="71"/>
        <v/>
      </c>
      <c r="P144" s="11" t="str">
        <f t="shared" si="72"/>
        <v/>
      </c>
      <c r="Q144" s="11" t="str">
        <f t="shared" si="73"/>
        <v/>
      </c>
      <c r="R144" s="11" t="str">
        <f t="shared" si="74"/>
        <v/>
      </c>
      <c r="S144" s="11" t="str">
        <f t="shared" si="75"/>
        <v/>
      </c>
      <c r="T144" s="11" t="str">
        <f t="shared" si="89"/>
        <v/>
      </c>
      <c r="U144" s="11" t="str">
        <f t="shared" si="90"/>
        <v/>
      </c>
      <c r="V144" s="11" t="str">
        <f t="shared" si="91"/>
        <v/>
      </c>
      <c r="W144" s="11"/>
      <c r="Y144" s="13" t="e">
        <f t="shared" si="124"/>
        <v>#VALUE!</v>
      </c>
      <c r="Z144" s="13" t="e">
        <f t="shared" si="125"/>
        <v>#VALUE!</v>
      </c>
      <c r="AA144" s="10" t="e">
        <f t="shared" si="126"/>
        <v>#VALUE!</v>
      </c>
      <c r="AB144" s="10" t="e">
        <f t="shared" si="127"/>
        <v>#VALUE!</v>
      </c>
      <c r="AC144" s="13" t="e">
        <f t="shared" si="128"/>
        <v>#VALUE!</v>
      </c>
      <c r="AD144" s="9" t="e">
        <f t="shared" si="129"/>
        <v>#VALUE!</v>
      </c>
      <c r="AE144" s="13" t="e">
        <f t="shared" si="130"/>
        <v>#VALUE!</v>
      </c>
      <c r="AF144" s="13" t="e">
        <f t="shared" si="131"/>
        <v>#VALUE!</v>
      </c>
      <c r="AG144" s="27" t="e">
        <f t="shared" si="92"/>
        <v>#VALUE!</v>
      </c>
      <c r="AH144" s="29" t="e">
        <f t="shared" si="93"/>
        <v>#VALUE!</v>
      </c>
      <c r="AI144" s="29" t="e">
        <f t="shared" si="94"/>
        <v>#VALUE!</v>
      </c>
      <c r="AJ144" s="29" t="e">
        <f t="shared" si="95"/>
        <v>#VALUE!</v>
      </c>
      <c r="AK144" s="27" t="e">
        <f t="shared" si="96"/>
        <v>#VALUE!</v>
      </c>
      <c r="AL144" s="27" t="e">
        <f t="shared" si="97"/>
        <v>#VALUE!</v>
      </c>
      <c r="AM144" s="27" t="e">
        <f t="shared" si="98"/>
        <v>#VALUE!</v>
      </c>
      <c r="AP144" s="10">
        <f t="shared" si="99"/>
        <v>-999</v>
      </c>
      <c r="AQ144" s="13">
        <f t="shared" si="100"/>
        <v>-999</v>
      </c>
      <c r="AR144" s="10">
        <f t="shared" si="101"/>
        <v>-999</v>
      </c>
      <c r="AS144" s="13">
        <f t="shared" si="102"/>
        <v>-999</v>
      </c>
      <c r="AV144" s="13">
        <f t="shared" si="103"/>
        <v>-999</v>
      </c>
      <c r="AW144" s="13">
        <f t="shared" si="104"/>
        <v>-999</v>
      </c>
      <c r="AY144" s="13">
        <f t="shared" si="105"/>
        <v>-999</v>
      </c>
      <c r="AZ144" s="13">
        <f t="shared" si="106"/>
        <v>-999</v>
      </c>
      <c r="BA144" s="13"/>
      <c r="BB144" s="13"/>
      <c r="BC144" s="10">
        <f t="shared" si="107"/>
        <v>-999</v>
      </c>
      <c r="BD144" s="10">
        <f t="shared" si="108"/>
        <v>-999</v>
      </c>
      <c r="BE144" s="13">
        <f t="shared" si="109"/>
        <v>-999</v>
      </c>
      <c r="BG144" s="9">
        <f t="shared" si="110"/>
        <v>-999</v>
      </c>
      <c r="BH144" s="13">
        <f t="shared" si="111"/>
        <v>-999</v>
      </c>
      <c r="BJ144" s="13">
        <f t="shared" si="112"/>
        <v>-999</v>
      </c>
      <c r="BK144" s="13">
        <f t="shared" si="113"/>
        <v>-999</v>
      </c>
      <c r="BL144" s="13"/>
      <c r="BM144" s="13">
        <f t="shared" si="114"/>
        <v>-999</v>
      </c>
      <c r="BN144" s="13">
        <f t="shared" si="115"/>
        <v>-999</v>
      </c>
      <c r="BO144" s="13"/>
      <c r="BP144" s="13"/>
      <c r="BQ144" s="10"/>
      <c r="BR144" s="10"/>
      <c r="BS144" s="13"/>
      <c r="BT144" s="13"/>
      <c r="BU144" s="23"/>
      <c r="BV144" s="23"/>
      <c r="BW144" s="13"/>
      <c r="BX144" s="13"/>
      <c r="BZ144" s="10">
        <f t="shared" si="133"/>
        <v>-999</v>
      </c>
      <c r="CA144" s="13">
        <f t="shared" si="134"/>
        <v>-999</v>
      </c>
      <c r="CB144" s="9">
        <f t="shared" si="135"/>
        <v>-999</v>
      </c>
      <c r="CC144" s="13">
        <f t="shared" si="136"/>
        <v>-999</v>
      </c>
      <c r="CD144">
        <f t="shared" si="116"/>
        <v>-999</v>
      </c>
      <c r="CE144" s="13">
        <f t="shared" si="117"/>
        <v>-999</v>
      </c>
      <c r="CF144" s="13"/>
      <c r="CV144" s="9" t="e">
        <f t="shared" si="123"/>
        <v>#VALUE!</v>
      </c>
      <c r="CW144" s="9" t="e">
        <f t="shared" si="118"/>
        <v>#VALUE!</v>
      </c>
      <c r="CX144" s="9"/>
      <c r="CY144" s="9" t="str">
        <f t="shared" si="119"/>
        <v/>
      </c>
      <c r="CZ144" s="9" t="str">
        <f t="shared" si="120"/>
        <v/>
      </c>
    </row>
    <row r="145" spans="1:104" x14ac:dyDescent="0.25">
      <c r="A145" s="6"/>
      <c r="B145" s="1"/>
      <c r="I145" s="6"/>
      <c r="L145" s="11" t="str">
        <f t="shared" si="121"/>
        <v/>
      </c>
      <c r="M145" s="11" t="str">
        <f t="shared" si="69"/>
        <v/>
      </c>
      <c r="N145" s="11" t="str">
        <f t="shared" si="70"/>
        <v/>
      </c>
      <c r="O145" s="11" t="str">
        <f t="shared" si="71"/>
        <v/>
      </c>
      <c r="P145" s="11" t="str">
        <f t="shared" si="72"/>
        <v/>
      </c>
      <c r="Q145" s="11" t="str">
        <f t="shared" si="73"/>
        <v/>
      </c>
      <c r="R145" s="11" t="str">
        <f t="shared" si="74"/>
        <v/>
      </c>
      <c r="S145" s="11" t="str">
        <f t="shared" si="75"/>
        <v/>
      </c>
      <c r="T145" s="11" t="str">
        <f t="shared" si="89"/>
        <v/>
      </c>
      <c r="U145" s="11" t="str">
        <f t="shared" si="90"/>
        <v/>
      </c>
      <c r="V145" s="11" t="str">
        <f t="shared" si="91"/>
        <v/>
      </c>
      <c r="W145" s="11"/>
      <c r="Y145" s="13" t="e">
        <f t="shared" si="124"/>
        <v>#VALUE!</v>
      </c>
      <c r="Z145" s="13" t="e">
        <f t="shared" si="125"/>
        <v>#VALUE!</v>
      </c>
      <c r="AA145" s="10" t="e">
        <f t="shared" si="126"/>
        <v>#VALUE!</v>
      </c>
      <c r="AB145" s="10" t="e">
        <f t="shared" si="127"/>
        <v>#VALUE!</v>
      </c>
      <c r="AC145" s="13" t="e">
        <f t="shared" si="128"/>
        <v>#VALUE!</v>
      </c>
      <c r="AD145" s="9" t="e">
        <f t="shared" si="129"/>
        <v>#VALUE!</v>
      </c>
      <c r="AE145" s="13" t="e">
        <f t="shared" si="130"/>
        <v>#VALUE!</v>
      </c>
      <c r="AF145" s="13" t="e">
        <f t="shared" si="131"/>
        <v>#VALUE!</v>
      </c>
      <c r="AG145" s="27" t="e">
        <f t="shared" si="92"/>
        <v>#VALUE!</v>
      </c>
      <c r="AH145" s="29" t="e">
        <f t="shared" si="93"/>
        <v>#VALUE!</v>
      </c>
      <c r="AI145" s="29" t="e">
        <f t="shared" si="94"/>
        <v>#VALUE!</v>
      </c>
      <c r="AJ145" s="29" t="e">
        <f t="shared" si="95"/>
        <v>#VALUE!</v>
      </c>
      <c r="AK145" s="27" t="e">
        <f t="shared" si="96"/>
        <v>#VALUE!</v>
      </c>
      <c r="AL145" s="27" t="e">
        <f t="shared" si="97"/>
        <v>#VALUE!</v>
      </c>
      <c r="AM145" s="27" t="e">
        <f t="shared" si="98"/>
        <v>#VALUE!</v>
      </c>
      <c r="AP145" s="10">
        <f t="shared" si="99"/>
        <v>-999</v>
      </c>
      <c r="AQ145" s="13">
        <f t="shared" si="100"/>
        <v>-999</v>
      </c>
      <c r="AR145" s="10">
        <f t="shared" si="101"/>
        <v>-999</v>
      </c>
      <c r="AS145" s="13">
        <f t="shared" si="102"/>
        <v>-999</v>
      </c>
      <c r="AV145" s="13">
        <f t="shared" si="103"/>
        <v>-999</v>
      </c>
      <c r="AW145" s="13">
        <f t="shared" si="104"/>
        <v>-999</v>
      </c>
      <c r="AY145" s="13">
        <f t="shared" si="105"/>
        <v>-999</v>
      </c>
      <c r="AZ145" s="13">
        <f t="shared" si="106"/>
        <v>-999</v>
      </c>
      <c r="BA145" s="13"/>
      <c r="BB145" s="13"/>
      <c r="BC145" s="10">
        <f t="shared" si="107"/>
        <v>-999</v>
      </c>
      <c r="BD145" s="10">
        <f t="shared" si="108"/>
        <v>-999</v>
      </c>
      <c r="BE145" s="13">
        <f t="shared" si="109"/>
        <v>-999</v>
      </c>
      <c r="BG145" s="9">
        <f t="shared" si="110"/>
        <v>-999</v>
      </c>
      <c r="BH145" s="13">
        <f t="shared" si="111"/>
        <v>-999</v>
      </c>
      <c r="BJ145" s="13">
        <f t="shared" si="112"/>
        <v>-999</v>
      </c>
      <c r="BK145" s="13">
        <f t="shared" si="113"/>
        <v>-999</v>
      </c>
      <c r="BL145" s="13"/>
      <c r="BM145" s="13">
        <f t="shared" si="114"/>
        <v>-999</v>
      </c>
      <c r="BN145" s="13">
        <f t="shared" si="115"/>
        <v>-999</v>
      </c>
      <c r="BO145" s="13"/>
      <c r="BP145" s="13"/>
      <c r="BQ145" s="10"/>
      <c r="BR145" s="10"/>
      <c r="BS145" s="13"/>
      <c r="BT145" s="13"/>
      <c r="BU145" s="23"/>
      <c r="BV145" s="23"/>
      <c r="BW145" s="13"/>
      <c r="BX145" s="13"/>
      <c r="BZ145" s="10">
        <f t="shared" si="133"/>
        <v>-999</v>
      </c>
      <c r="CA145" s="13">
        <f t="shared" si="134"/>
        <v>-999</v>
      </c>
      <c r="CB145" s="9">
        <f t="shared" si="135"/>
        <v>-999</v>
      </c>
      <c r="CC145" s="13">
        <f t="shared" si="136"/>
        <v>-999</v>
      </c>
      <c r="CD145">
        <f t="shared" si="116"/>
        <v>-999</v>
      </c>
      <c r="CE145" s="13">
        <f t="shared" si="117"/>
        <v>-999</v>
      </c>
      <c r="CF145" s="13"/>
      <c r="CV145" s="9" t="e">
        <f t="shared" si="123"/>
        <v>#VALUE!</v>
      </c>
      <c r="CW145" s="9" t="e">
        <f t="shared" si="118"/>
        <v>#VALUE!</v>
      </c>
      <c r="CX145" s="9"/>
      <c r="CY145" s="9" t="str">
        <f t="shared" si="119"/>
        <v/>
      </c>
      <c r="CZ145" s="9" t="str">
        <f t="shared" si="120"/>
        <v/>
      </c>
    </row>
    <row r="146" spans="1:104" x14ac:dyDescent="0.25">
      <c r="A146" s="6"/>
      <c r="B146" s="1"/>
      <c r="I146" s="6"/>
      <c r="L146" s="11" t="str">
        <f t="shared" si="121"/>
        <v/>
      </c>
      <c r="M146" s="11" t="str">
        <f t="shared" si="69"/>
        <v/>
      </c>
      <c r="N146" s="11" t="str">
        <f t="shared" si="70"/>
        <v/>
      </c>
      <c r="O146" s="11" t="str">
        <f t="shared" si="71"/>
        <v/>
      </c>
      <c r="P146" s="11" t="str">
        <f t="shared" si="72"/>
        <v/>
      </c>
      <c r="Q146" s="11" t="str">
        <f t="shared" si="73"/>
        <v/>
      </c>
      <c r="R146" s="11" t="str">
        <f t="shared" si="74"/>
        <v/>
      </c>
      <c r="S146" s="11" t="str">
        <f t="shared" si="75"/>
        <v/>
      </c>
      <c r="T146" s="11" t="str">
        <f t="shared" si="89"/>
        <v/>
      </c>
      <c r="U146" s="11" t="str">
        <f t="shared" si="90"/>
        <v/>
      </c>
      <c r="V146" s="11" t="str">
        <f t="shared" si="91"/>
        <v/>
      </c>
      <c r="W146" s="11"/>
      <c r="Y146" s="13" t="e">
        <f t="shared" si="124"/>
        <v>#VALUE!</v>
      </c>
      <c r="Z146" s="13" t="e">
        <f t="shared" si="125"/>
        <v>#VALUE!</v>
      </c>
      <c r="AA146" s="10" t="e">
        <f t="shared" si="126"/>
        <v>#VALUE!</v>
      </c>
      <c r="AB146" s="10" t="e">
        <f t="shared" si="127"/>
        <v>#VALUE!</v>
      </c>
      <c r="AC146" s="13" t="e">
        <f t="shared" si="128"/>
        <v>#VALUE!</v>
      </c>
      <c r="AD146" s="9" t="e">
        <f t="shared" si="129"/>
        <v>#VALUE!</v>
      </c>
      <c r="AE146" s="13" t="e">
        <f t="shared" si="130"/>
        <v>#VALUE!</v>
      </c>
      <c r="AF146" s="13" t="e">
        <f t="shared" si="131"/>
        <v>#VALUE!</v>
      </c>
      <c r="AG146" s="27" t="e">
        <f t="shared" si="92"/>
        <v>#VALUE!</v>
      </c>
      <c r="AH146" s="29" t="e">
        <f t="shared" si="93"/>
        <v>#VALUE!</v>
      </c>
      <c r="AI146" s="29" t="e">
        <f t="shared" si="94"/>
        <v>#VALUE!</v>
      </c>
      <c r="AJ146" s="29" t="e">
        <f t="shared" si="95"/>
        <v>#VALUE!</v>
      </c>
      <c r="AK146" s="27" t="e">
        <f t="shared" si="96"/>
        <v>#VALUE!</v>
      </c>
      <c r="AL146" s="27" t="e">
        <f t="shared" si="97"/>
        <v>#VALUE!</v>
      </c>
      <c r="AM146" s="27" t="e">
        <f t="shared" si="98"/>
        <v>#VALUE!</v>
      </c>
      <c r="AP146" s="10">
        <f t="shared" si="99"/>
        <v>-999</v>
      </c>
      <c r="AQ146" s="13">
        <f t="shared" si="100"/>
        <v>-999</v>
      </c>
      <c r="AR146" s="10">
        <f t="shared" si="101"/>
        <v>-999</v>
      </c>
      <c r="AS146" s="13">
        <f t="shared" si="102"/>
        <v>-999</v>
      </c>
      <c r="AV146" s="13">
        <f t="shared" si="103"/>
        <v>-999</v>
      </c>
      <c r="AW146" s="13">
        <f t="shared" si="104"/>
        <v>-999</v>
      </c>
      <c r="AY146" s="13">
        <f t="shared" si="105"/>
        <v>-999</v>
      </c>
      <c r="AZ146" s="13">
        <f t="shared" si="106"/>
        <v>-999</v>
      </c>
      <c r="BA146" s="13"/>
      <c r="BB146" s="13"/>
      <c r="BC146" s="10">
        <f t="shared" si="107"/>
        <v>-999</v>
      </c>
      <c r="BD146" s="10">
        <f t="shared" si="108"/>
        <v>-999</v>
      </c>
      <c r="BE146" s="13">
        <f t="shared" si="109"/>
        <v>-999</v>
      </c>
      <c r="BG146" s="9">
        <f t="shared" si="110"/>
        <v>-999</v>
      </c>
      <c r="BH146" s="13">
        <f t="shared" si="111"/>
        <v>-999</v>
      </c>
      <c r="BJ146" s="13">
        <f t="shared" si="112"/>
        <v>-999</v>
      </c>
      <c r="BK146" s="13">
        <f t="shared" si="113"/>
        <v>-999</v>
      </c>
      <c r="BL146" s="13"/>
      <c r="BM146" s="13">
        <f t="shared" si="114"/>
        <v>-999</v>
      </c>
      <c r="BN146" s="13">
        <f t="shared" si="115"/>
        <v>-999</v>
      </c>
      <c r="BO146" s="13"/>
      <c r="BP146" s="13"/>
      <c r="BQ146" s="10"/>
      <c r="BR146" s="10"/>
      <c r="BS146" s="13"/>
      <c r="BT146" s="13"/>
      <c r="BU146" s="23"/>
      <c r="BV146" s="23"/>
      <c r="BW146" s="13"/>
      <c r="BX146" s="13"/>
      <c r="BZ146" s="10">
        <f t="shared" si="133"/>
        <v>-999</v>
      </c>
      <c r="CA146" s="13">
        <f t="shared" si="134"/>
        <v>-999</v>
      </c>
      <c r="CB146" s="9">
        <f t="shared" si="135"/>
        <v>-999</v>
      </c>
      <c r="CC146" s="13">
        <f t="shared" si="136"/>
        <v>-999</v>
      </c>
      <c r="CD146">
        <f t="shared" si="116"/>
        <v>-999</v>
      </c>
      <c r="CE146" s="13">
        <f t="shared" si="117"/>
        <v>-999</v>
      </c>
      <c r="CF146" s="13"/>
      <c r="CV146" s="9" t="e">
        <f t="shared" si="123"/>
        <v>#VALUE!</v>
      </c>
      <c r="CW146" s="9" t="e">
        <f t="shared" si="118"/>
        <v>#VALUE!</v>
      </c>
      <c r="CX146" s="9"/>
      <c r="CY146" s="9" t="str">
        <f t="shared" si="119"/>
        <v/>
      </c>
      <c r="CZ146" s="9" t="str">
        <f t="shared" si="120"/>
        <v/>
      </c>
    </row>
    <row r="147" spans="1:104" x14ac:dyDescent="0.25">
      <c r="A147" s="6"/>
      <c r="B147" s="1"/>
      <c r="I147" s="6"/>
      <c r="L147" s="11" t="str">
        <f t="shared" si="121"/>
        <v/>
      </c>
      <c r="M147" s="11" t="str">
        <f t="shared" si="69"/>
        <v/>
      </c>
      <c r="N147" s="11" t="str">
        <f t="shared" si="70"/>
        <v/>
      </c>
      <c r="O147" s="11" t="str">
        <f t="shared" si="71"/>
        <v/>
      </c>
      <c r="P147" s="11" t="str">
        <f t="shared" si="72"/>
        <v/>
      </c>
      <c r="Q147" s="11" t="str">
        <f t="shared" si="73"/>
        <v/>
      </c>
      <c r="R147" s="11" t="str">
        <f t="shared" si="74"/>
        <v/>
      </c>
      <c r="S147" s="11" t="str">
        <f t="shared" si="75"/>
        <v/>
      </c>
      <c r="T147" s="11" t="str">
        <f t="shared" si="89"/>
        <v/>
      </c>
      <c r="U147" s="11" t="str">
        <f t="shared" si="90"/>
        <v/>
      </c>
      <c r="V147" s="11" t="str">
        <f t="shared" si="91"/>
        <v/>
      </c>
      <c r="W147" s="11"/>
      <c r="Y147" s="13" t="e">
        <f t="shared" si="124"/>
        <v>#VALUE!</v>
      </c>
      <c r="Z147" s="13" t="e">
        <f t="shared" si="125"/>
        <v>#VALUE!</v>
      </c>
      <c r="AA147" s="10" t="e">
        <f t="shared" si="126"/>
        <v>#VALUE!</v>
      </c>
      <c r="AB147" s="10" t="e">
        <f t="shared" si="127"/>
        <v>#VALUE!</v>
      </c>
      <c r="AC147" s="13" t="e">
        <f t="shared" si="128"/>
        <v>#VALUE!</v>
      </c>
      <c r="AD147" s="9" t="e">
        <f t="shared" si="129"/>
        <v>#VALUE!</v>
      </c>
      <c r="AE147" s="13" t="e">
        <f t="shared" si="130"/>
        <v>#VALUE!</v>
      </c>
      <c r="AF147" s="13" t="e">
        <f t="shared" si="131"/>
        <v>#VALUE!</v>
      </c>
      <c r="AG147" s="27" t="e">
        <f t="shared" si="92"/>
        <v>#VALUE!</v>
      </c>
      <c r="AH147" s="29" t="e">
        <f t="shared" si="93"/>
        <v>#VALUE!</v>
      </c>
      <c r="AI147" s="29" t="e">
        <f t="shared" si="94"/>
        <v>#VALUE!</v>
      </c>
      <c r="AJ147" s="29" t="e">
        <f t="shared" si="95"/>
        <v>#VALUE!</v>
      </c>
      <c r="AK147" s="27" t="e">
        <f t="shared" si="96"/>
        <v>#VALUE!</v>
      </c>
      <c r="AL147" s="27" t="e">
        <f t="shared" si="97"/>
        <v>#VALUE!</v>
      </c>
      <c r="AM147" s="27" t="e">
        <f t="shared" si="98"/>
        <v>#VALUE!</v>
      </c>
      <c r="AP147" s="10">
        <f t="shared" si="99"/>
        <v>-999</v>
      </c>
      <c r="AQ147" s="13">
        <f t="shared" si="100"/>
        <v>-999</v>
      </c>
      <c r="AR147" s="10">
        <f t="shared" si="101"/>
        <v>-999</v>
      </c>
      <c r="AS147" s="13">
        <f t="shared" si="102"/>
        <v>-999</v>
      </c>
      <c r="AV147" s="13">
        <f t="shared" si="103"/>
        <v>-999</v>
      </c>
      <c r="AW147" s="13">
        <f t="shared" si="104"/>
        <v>-999</v>
      </c>
      <c r="AY147" s="13">
        <f t="shared" si="105"/>
        <v>-999</v>
      </c>
      <c r="AZ147" s="13">
        <f t="shared" si="106"/>
        <v>-999</v>
      </c>
      <c r="BA147" s="13"/>
      <c r="BB147" s="13"/>
      <c r="BC147" s="10">
        <f t="shared" si="107"/>
        <v>-999</v>
      </c>
      <c r="BD147" s="10">
        <f t="shared" si="108"/>
        <v>-999</v>
      </c>
      <c r="BE147" s="13">
        <f t="shared" si="109"/>
        <v>-999</v>
      </c>
      <c r="BG147" s="9">
        <f t="shared" si="110"/>
        <v>-999</v>
      </c>
      <c r="BH147" s="13">
        <f t="shared" si="111"/>
        <v>-999</v>
      </c>
      <c r="BJ147" s="13">
        <f t="shared" si="112"/>
        <v>-999</v>
      </c>
      <c r="BK147" s="13">
        <f t="shared" si="113"/>
        <v>-999</v>
      </c>
      <c r="BL147" s="13"/>
      <c r="BM147" s="13">
        <f t="shared" si="114"/>
        <v>-999</v>
      </c>
      <c r="BN147" s="13">
        <f t="shared" si="115"/>
        <v>-999</v>
      </c>
      <c r="BO147" s="13"/>
      <c r="BP147" s="13"/>
      <c r="BQ147" s="10"/>
      <c r="BR147" s="10"/>
      <c r="BS147" s="13"/>
      <c r="BT147" s="13"/>
      <c r="BU147" s="23"/>
      <c r="BV147" s="23"/>
      <c r="BW147" s="13"/>
      <c r="BX147" s="13"/>
      <c r="BZ147" s="10">
        <f t="shared" si="133"/>
        <v>-999</v>
      </c>
      <c r="CA147" s="13">
        <f t="shared" si="134"/>
        <v>-999</v>
      </c>
      <c r="CB147" s="9">
        <f t="shared" si="135"/>
        <v>-999</v>
      </c>
      <c r="CC147" s="13">
        <f t="shared" si="136"/>
        <v>-999</v>
      </c>
      <c r="CD147">
        <f t="shared" si="116"/>
        <v>-999</v>
      </c>
      <c r="CE147" s="13">
        <f t="shared" si="117"/>
        <v>-999</v>
      </c>
      <c r="CF147" s="13"/>
      <c r="CV147" s="9" t="e">
        <f t="shared" si="123"/>
        <v>#VALUE!</v>
      </c>
      <c r="CW147" s="9" t="e">
        <f t="shared" si="118"/>
        <v>#VALUE!</v>
      </c>
      <c r="CX147" s="9"/>
      <c r="CY147" s="9" t="str">
        <f t="shared" si="119"/>
        <v/>
      </c>
      <c r="CZ147" s="9" t="str">
        <f t="shared" si="120"/>
        <v/>
      </c>
    </row>
    <row r="148" spans="1:104" x14ac:dyDescent="0.25">
      <c r="A148" s="6"/>
      <c r="B148" s="1"/>
      <c r="I148" s="6"/>
      <c r="L148" s="11" t="str">
        <f t="shared" si="121"/>
        <v/>
      </c>
      <c r="M148" s="11" t="str">
        <f t="shared" si="69"/>
        <v/>
      </c>
      <c r="N148" s="11" t="str">
        <f t="shared" si="70"/>
        <v/>
      </c>
      <c r="O148" s="11" t="str">
        <f t="shared" si="71"/>
        <v/>
      </c>
      <c r="P148" s="11" t="str">
        <f t="shared" si="72"/>
        <v/>
      </c>
      <c r="Q148" s="11" t="str">
        <f t="shared" si="73"/>
        <v/>
      </c>
      <c r="R148" s="11" t="str">
        <f t="shared" si="74"/>
        <v/>
      </c>
      <c r="S148" s="11" t="str">
        <f t="shared" si="75"/>
        <v/>
      </c>
      <c r="T148" s="11" t="str">
        <f t="shared" si="89"/>
        <v/>
      </c>
      <c r="U148" s="11" t="str">
        <f t="shared" si="90"/>
        <v/>
      </c>
      <c r="V148" s="11" t="str">
        <f t="shared" si="91"/>
        <v/>
      </c>
      <c r="W148" s="11"/>
      <c r="Y148" s="13" t="e">
        <f t="shared" si="124"/>
        <v>#VALUE!</v>
      </c>
      <c r="Z148" s="13" t="e">
        <f t="shared" si="125"/>
        <v>#VALUE!</v>
      </c>
      <c r="AA148" s="10" t="e">
        <f t="shared" si="126"/>
        <v>#VALUE!</v>
      </c>
      <c r="AB148" s="10" t="e">
        <f t="shared" si="127"/>
        <v>#VALUE!</v>
      </c>
      <c r="AC148" s="13" t="e">
        <f t="shared" si="128"/>
        <v>#VALUE!</v>
      </c>
      <c r="AD148" s="9" t="e">
        <f t="shared" si="129"/>
        <v>#VALUE!</v>
      </c>
      <c r="AE148" s="13" t="e">
        <f t="shared" si="130"/>
        <v>#VALUE!</v>
      </c>
      <c r="AF148" s="13" t="e">
        <f t="shared" si="131"/>
        <v>#VALUE!</v>
      </c>
      <c r="AG148" s="27" t="e">
        <f t="shared" si="92"/>
        <v>#VALUE!</v>
      </c>
      <c r="AH148" s="29" t="e">
        <f t="shared" si="93"/>
        <v>#VALUE!</v>
      </c>
      <c r="AI148" s="29" t="e">
        <f t="shared" si="94"/>
        <v>#VALUE!</v>
      </c>
      <c r="AJ148" s="29" t="e">
        <f t="shared" si="95"/>
        <v>#VALUE!</v>
      </c>
      <c r="AK148" s="27" t="e">
        <f t="shared" si="96"/>
        <v>#VALUE!</v>
      </c>
      <c r="AL148" s="27" t="e">
        <f t="shared" si="97"/>
        <v>#VALUE!</v>
      </c>
      <c r="AM148" s="27" t="e">
        <f t="shared" si="98"/>
        <v>#VALUE!</v>
      </c>
      <c r="AP148" s="10">
        <f t="shared" si="99"/>
        <v>-999</v>
      </c>
      <c r="AQ148" s="13">
        <f t="shared" si="100"/>
        <v>-999</v>
      </c>
      <c r="AR148" s="10">
        <f t="shared" si="101"/>
        <v>-999</v>
      </c>
      <c r="AS148" s="13">
        <f t="shared" si="102"/>
        <v>-999</v>
      </c>
      <c r="AV148" s="13">
        <f t="shared" si="103"/>
        <v>-999</v>
      </c>
      <c r="AW148" s="13">
        <f t="shared" si="104"/>
        <v>-999</v>
      </c>
      <c r="AY148" s="13">
        <f t="shared" si="105"/>
        <v>-999</v>
      </c>
      <c r="AZ148" s="13">
        <f t="shared" si="106"/>
        <v>-999</v>
      </c>
      <c r="BA148" s="13"/>
      <c r="BB148" s="13"/>
      <c r="BC148" s="10">
        <f t="shared" si="107"/>
        <v>-999</v>
      </c>
      <c r="BD148" s="10">
        <f t="shared" si="108"/>
        <v>-999</v>
      </c>
      <c r="BE148" s="13">
        <f t="shared" si="109"/>
        <v>-999</v>
      </c>
      <c r="BG148" s="9">
        <f t="shared" si="110"/>
        <v>-999</v>
      </c>
      <c r="BH148" s="13">
        <f t="shared" si="111"/>
        <v>-999</v>
      </c>
      <c r="BJ148" s="13">
        <f t="shared" si="112"/>
        <v>-999</v>
      </c>
      <c r="BK148" s="13">
        <f t="shared" si="113"/>
        <v>-999</v>
      </c>
      <c r="BL148" s="13"/>
      <c r="BM148" s="13">
        <f t="shared" si="114"/>
        <v>-999</v>
      </c>
      <c r="BN148" s="13">
        <f t="shared" si="115"/>
        <v>-999</v>
      </c>
      <c r="BO148" s="13"/>
      <c r="BP148" s="13"/>
      <c r="BQ148" s="10"/>
      <c r="BR148" s="10"/>
      <c r="BS148" s="13"/>
      <c r="BT148" s="13"/>
      <c r="BU148" s="23"/>
      <c r="BV148" s="23"/>
      <c r="BW148" s="13"/>
      <c r="BX148" s="13"/>
      <c r="BZ148" s="10">
        <f t="shared" si="133"/>
        <v>-999</v>
      </c>
      <c r="CA148" s="13">
        <f t="shared" si="134"/>
        <v>-999</v>
      </c>
      <c r="CB148" s="9">
        <f t="shared" si="135"/>
        <v>-999</v>
      </c>
      <c r="CC148" s="13">
        <f t="shared" si="136"/>
        <v>-999</v>
      </c>
      <c r="CD148">
        <f t="shared" si="116"/>
        <v>-999</v>
      </c>
      <c r="CE148" s="13">
        <f t="shared" si="117"/>
        <v>-999</v>
      </c>
      <c r="CF148" s="13"/>
      <c r="CV148" s="9" t="e">
        <f t="shared" si="123"/>
        <v>#VALUE!</v>
      </c>
      <c r="CW148" s="9" t="e">
        <f t="shared" si="118"/>
        <v>#VALUE!</v>
      </c>
      <c r="CX148" s="9"/>
      <c r="CY148" s="9" t="str">
        <f t="shared" si="119"/>
        <v/>
      </c>
      <c r="CZ148" s="9" t="str">
        <f t="shared" si="120"/>
        <v/>
      </c>
    </row>
    <row r="149" spans="1:104" x14ac:dyDescent="0.25">
      <c r="A149" s="6"/>
      <c r="B149" s="1"/>
      <c r="I149" s="6"/>
      <c r="L149" s="11" t="str">
        <f t="shared" si="121"/>
        <v/>
      </c>
      <c r="M149" s="11" t="str">
        <f t="shared" si="69"/>
        <v/>
      </c>
      <c r="N149" s="11" t="str">
        <f t="shared" si="70"/>
        <v/>
      </c>
      <c r="O149" s="11" t="str">
        <f t="shared" si="71"/>
        <v/>
      </c>
      <c r="P149" s="11" t="str">
        <f t="shared" si="72"/>
        <v/>
      </c>
      <c r="Q149" s="11" t="str">
        <f t="shared" si="73"/>
        <v/>
      </c>
      <c r="R149" s="11" t="str">
        <f t="shared" si="74"/>
        <v/>
      </c>
      <c r="S149" s="11" t="str">
        <f t="shared" si="75"/>
        <v/>
      </c>
      <c r="T149" s="11" t="str">
        <f t="shared" si="89"/>
        <v/>
      </c>
      <c r="U149" s="11" t="str">
        <f t="shared" si="90"/>
        <v/>
      </c>
      <c r="V149" s="11" t="str">
        <f t="shared" si="91"/>
        <v/>
      </c>
      <c r="W149" s="11"/>
      <c r="Y149" s="13" t="e">
        <f t="shared" si="124"/>
        <v>#VALUE!</v>
      </c>
      <c r="Z149" s="13" t="e">
        <f t="shared" si="125"/>
        <v>#VALUE!</v>
      </c>
      <c r="AA149" s="10" t="e">
        <f t="shared" si="126"/>
        <v>#VALUE!</v>
      </c>
      <c r="AB149" s="10" t="e">
        <f t="shared" si="127"/>
        <v>#VALUE!</v>
      </c>
      <c r="AC149" s="13" t="e">
        <f t="shared" si="128"/>
        <v>#VALUE!</v>
      </c>
      <c r="AD149" s="9" t="e">
        <f t="shared" si="129"/>
        <v>#VALUE!</v>
      </c>
      <c r="AE149" s="13" t="e">
        <f t="shared" si="130"/>
        <v>#VALUE!</v>
      </c>
      <c r="AF149" s="13" t="e">
        <f t="shared" si="131"/>
        <v>#VALUE!</v>
      </c>
      <c r="AG149" s="27" t="e">
        <f t="shared" si="92"/>
        <v>#VALUE!</v>
      </c>
      <c r="AH149" s="29" t="e">
        <f t="shared" si="93"/>
        <v>#VALUE!</v>
      </c>
      <c r="AI149" s="29" t="e">
        <f t="shared" si="94"/>
        <v>#VALUE!</v>
      </c>
      <c r="AJ149" s="29" t="e">
        <f t="shared" si="95"/>
        <v>#VALUE!</v>
      </c>
      <c r="AK149" s="27" t="e">
        <f t="shared" si="96"/>
        <v>#VALUE!</v>
      </c>
      <c r="AL149" s="27" t="e">
        <f t="shared" si="97"/>
        <v>#VALUE!</v>
      </c>
      <c r="AM149" s="27" t="e">
        <f t="shared" si="98"/>
        <v>#VALUE!</v>
      </c>
      <c r="AP149" s="10">
        <f t="shared" si="99"/>
        <v>-999</v>
      </c>
      <c r="AQ149" s="13">
        <f t="shared" si="100"/>
        <v>-999</v>
      </c>
      <c r="AR149" s="10">
        <f t="shared" si="101"/>
        <v>-999</v>
      </c>
      <c r="AS149" s="13">
        <f t="shared" si="102"/>
        <v>-999</v>
      </c>
      <c r="AV149" s="13">
        <f t="shared" si="103"/>
        <v>-999</v>
      </c>
      <c r="AW149" s="13">
        <f t="shared" si="104"/>
        <v>-999</v>
      </c>
      <c r="AY149" s="13">
        <f t="shared" si="105"/>
        <v>-999</v>
      </c>
      <c r="AZ149" s="13">
        <f t="shared" si="106"/>
        <v>-999</v>
      </c>
      <c r="BA149" s="13"/>
      <c r="BB149" s="13"/>
      <c r="BC149" s="10">
        <f t="shared" si="107"/>
        <v>-999</v>
      </c>
      <c r="BD149" s="10">
        <f t="shared" si="108"/>
        <v>-999</v>
      </c>
      <c r="BE149" s="13">
        <f t="shared" si="109"/>
        <v>-999</v>
      </c>
      <c r="BG149" s="9">
        <f t="shared" si="110"/>
        <v>-999</v>
      </c>
      <c r="BH149" s="13">
        <f t="shared" si="111"/>
        <v>-999</v>
      </c>
      <c r="BJ149" s="13">
        <f t="shared" si="112"/>
        <v>-999</v>
      </c>
      <c r="BK149" s="13">
        <f t="shared" si="113"/>
        <v>-999</v>
      </c>
      <c r="BL149" s="13"/>
      <c r="BM149" s="13">
        <f t="shared" si="114"/>
        <v>-999</v>
      </c>
      <c r="BN149" s="13">
        <f t="shared" si="115"/>
        <v>-999</v>
      </c>
      <c r="BO149" s="13"/>
      <c r="BP149" s="13"/>
      <c r="BQ149" s="10"/>
      <c r="BR149" s="10"/>
      <c r="BS149" s="13"/>
      <c r="BT149" s="13"/>
      <c r="BU149" s="23"/>
      <c r="BV149" s="23"/>
      <c r="BW149" s="13"/>
      <c r="BX149" s="13"/>
      <c r="BZ149" s="10">
        <f t="shared" si="133"/>
        <v>-999</v>
      </c>
      <c r="CA149" s="13">
        <f t="shared" si="134"/>
        <v>-999</v>
      </c>
      <c r="CB149" s="9">
        <f t="shared" si="135"/>
        <v>-999</v>
      </c>
      <c r="CC149" s="13">
        <f t="shared" si="136"/>
        <v>-999</v>
      </c>
      <c r="CD149">
        <f t="shared" si="116"/>
        <v>-999</v>
      </c>
      <c r="CE149" s="13">
        <f t="shared" si="117"/>
        <v>-999</v>
      </c>
      <c r="CF149" s="13"/>
      <c r="CV149" s="9" t="e">
        <f t="shared" si="123"/>
        <v>#VALUE!</v>
      </c>
      <c r="CW149" s="9" t="e">
        <f t="shared" si="118"/>
        <v>#VALUE!</v>
      </c>
      <c r="CX149" s="9"/>
      <c r="CY149" s="9" t="str">
        <f t="shared" si="119"/>
        <v/>
      </c>
      <c r="CZ149" s="9" t="str">
        <f t="shared" si="120"/>
        <v/>
      </c>
    </row>
    <row r="150" spans="1:104" x14ac:dyDescent="0.25">
      <c r="A150" s="6"/>
      <c r="B150" s="1"/>
      <c r="I150" s="6"/>
      <c r="L150" s="11" t="str">
        <f t="shared" si="121"/>
        <v/>
      </c>
      <c r="M150" s="11" t="str">
        <f t="shared" si="69"/>
        <v/>
      </c>
      <c r="N150" s="11" t="str">
        <f t="shared" si="70"/>
        <v/>
      </c>
      <c r="O150" s="11" t="str">
        <f t="shared" si="71"/>
        <v/>
      </c>
      <c r="P150" s="11" t="str">
        <f t="shared" si="72"/>
        <v/>
      </c>
      <c r="Q150" s="11" t="str">
        <f t="shared" si="73"/>
        <v/>
      </c>
      <c r="R150" s="11" t="str">
        <f t="shared" si="74"/>
        <v/>
      </c>
      <c r="S150" s="11" t="str">
        <f t="shared" si="75"/>
        <v/>
      </c>
      <c r="T150" s="11" t="str">
        <f t="shared" si="89"/>
        <v/>
      </c>
      <c r="U150" s="11" t="str">
        <f t="shared" si="90"/>
        <v/>
      </c>
      <c r="V150" s="11" t="str">
        <f t="shared" si="91"/>
        <v/>
      </c>
      <c r="W150" s="11"/>
      <c r="Y150" s="13" t="e">
        <f t="shared" si="124"/>
        <v>#VALUE!</v>
      </c>
      <c r="Z150" s="13" t="e">
        <f t="shared" si="125"/>
        <v>#VALUE!</v>
      </c>
      <c r="AA150" s="10" t="e">
        <f t="shared" si="126"/>
        <v>#VALUE!</v>
      </c>
      <c r="AB150" s="10" t="e">
        <f t="shared" si="127"/>
        <v>#VALUE!</v>
      </c>
      <c r="AC150" s="13" t="e">
        <f t="shared" si="128"/>
        <v>#VALUE!</v>
      </c>
      <c r="AD150" s="9" t="e">
        <f t="shared" si="129"/>
        <v>#VALUE!</v>
      </c>
      <c r="AE150" s="13" t="e">
        <f t="shared" si="130"/>
        <v>#VALUE!</v>
      </c>
      <c r="AF150" s="13" t="e">
        <f t="shared" si="131"/>
        <v>#VALUE!</v>
      </c>
      <c r="AG150" s="27" t="e">
        <f t="shared" si="92"/>
        <v>#VALUE!</v>
      </c>
      <c r="AH150" s="29" t="e">
        <f t="shared" si="93"/>
        <v>#VALUE!</v>
      </c>
      <c r="AI150" s="29" t="e">
        <f t="shared" si="94"/>
        <v>#VALUE!</v>
      </c>
      <c r="AJ150" s="29" t="e">
        <f t="shared" si="95"/>
        <v>#VALUE!</v>
      </c>
      <c r="AK150" s="27" t="e">
        <f t="shared" si="96"/>
        <v>#VALUE!</v>
      </c>
      <c r="AL150" s="27" t="e">
        <f t="shared" si="97"/>
        <v>#VALUE!</v>
      </c>
      <c r="AM150" s="27" t="e">
        <f t="shared" si="98"/>
        <v>#VALUE!</v>
      </c>
      <c r="AP150" s="10">
        <f t="shared" si="99"/>
        <v>-999</v>
      </c>
      <c r="AQ150" s="13">
        <f t="shared" si="100"/>
        <v>-999</v>
      </c>
      <c r="AR150" s="10">
        <f t="shared" si="101"/>
        <v>-999</v>
      </c>
      <c r="AS150" s="13">
        <f t="shared" si="102"/>
        <v>-999</v>
      </c>
      <c r="AV150" s="13">
        <f t="shared" si="103"/>
        <v>-999</v>
      </c>
      <c r="AW150" s="13">
        <f t="shared" si="104"/>
        <v>-999</v>
      </c>
      <c r="AY150" s="13">
        <f t="shared" si="105"/>
        <v>-999</v>
      </c>
      <c r="AZ150" s="13">
        <f t="shared" si="106"/>
        <v>-999</v>
      </c>
      <c r="BA150" s="13"/>
      <c r="BB150" s="13"/>
      <c r="BC150" s="10">
        <f t="shared" si="107"/>
        <v>-999</v>
      </c>
      <c r="BD150" s="10">
        <f t="shared" si="108"/>
        <v>-999</v>
      </c>
      <c r="BE150" s="13">
        <f t="shared" si="109"/>
        <v>-999</v>
      </c>
      <c r="BG150" s="9">
        <f t="shared" si="110"/>
        <v>-999</v>
      </c>
      <c r="BH150" s="13">
        <f t="shared" si="111"/>
        <v>-999</v>
      </c>
      <c r="BJ150" s="13">
        <f t="shared" si="112"/>
        <v>-999</v>
      </c>
      <c r="BK150" s="13">
        <f t="shared" si="113"/>
        <v>-999</v>
      </c>
      <c r="BL150" s="13"/>
      <c r="BM150" s="13">
        <f t="shared" si="114"/>
        <v>-999</v>
      </c>
      <c r="BN150" s="13">
        <f t="shared" si="115"/>
        <v>-999</v>
      </c>
      <c r="BO150" s="13"/>
      <c r="BP150" s="13"/>
      <c r="BQ150" s="10"/>
      <c r="BR150" s="10"/>
      <c r="BS150" s="13"/>
      <c r="BT150" s="13"/>
      <c r="BU150" s="23"/>
      <c r="BV150" s="23"/>
      <c r="BW150" s="13"/>
      <c r="BX150" s="13"/>
      <c r="BZ150" s="10">
        <f t="shared" si="133"/>
        <v>-999</v>
      </c>
      <c r="CA150" s="13">
        <f t="shared" si="134"/>
        <v>-999</v>
      </c>
      <c r="CB150" s="9">
        <f t="shared" si="135"/>
        <v>-999</v>
      </c>
      <c r="CC150" s="13">
        <f t="shared" si="136"/>
        <v>-999</v>
      </c>
      <c r="CD150">
        <f t="shared" si="116"/>
        <v>-999</v>
      </c>
      <c r="CE150" s="13">
        <f t="shared" si="117"/>
        <v>-999</v>
      </c>
      <c r="CF150" s="13"/>
      <c r="CV150" s="9" t="e">
        <f t="shared" si="123"/>
        <v>#VALUE!</v>
      </c>
      <c r="CW150" s="9" t="e">
        <f t="shared" si="118"/>
        <v>#VALUE!</v>
      </c>
      <c r="CX150" s="9"/>
      <c r="CY150" s="9" t="str">
        <f t="shared" si="119"/>
        <v/>
      </c>
      <c r="CZ150" s="9" t="str">
        <f t="shared" si="120"/>
        <v/>
      </c>
    </row>
    <row r="151" spans="1:104" x14ac:dyDescent="0.25">
      <c r="A151" s="6"/>
      <c r="B151" s="1"/>
      <c r="I151" s="6"/>
      <c r="L151" s="11" t="str">
        <f t="shared" si="121"/>
        <v/>
      </c>
      <c r="M151" s="11" t="str">
        <f t="shared" si="69"/>
        <v/>
      </c>
      <c r="N151" s="11" t="str">
        <f t="shared" si="70"/>
        <v/>
      </c>
      <c r="O151" s="11" t="str">
        <f t="shared" si="71"/>
        <v/>
      </c>
      <c r="P151" s="11" t="str">
        <f t="shared" si="72"/>
        <v/>
      </c>
      <c r="Q151" s="11" t="str">
        <f t="shared" si="73"/>
        <v/>
      </c>
      <c r="R151" s="11" t="str">
        <f t="shared" si="74"/>
        <v/>
      </c>
      <c r="S151" s="11" t="str">
        <f t="shared" si="75"/>
        <v/>
      </c>
      <c r="T151" s="11" t="str">
        <f t="shared" si="89"/>
        <v/>
      </c>
      <c r="U151" s="11" t="str">
        <f t="shared" si="90"/>
        <v/>
      </c>
      <c r="V151" s="11" t="str">
        <f t="shared" si="91"/>
        <v/>
      </c>
      <c r="W151" s="11"/>
      <c r="Y151" s="13" t="e">
        <f t="shared" si="124"/>
        <v>#VALUE!</v>
      </c>
      <c r="Z151" s="13" t="e">
        <f t="shared" si="125"/>
        <v>#VALUE!</v>
      </c>
      <c r="AA151" s="10" t="e">
        <f t="shared" si="126"/>
        <v>#VALUE!</v>
      </c>
      <c r="AB151" s="10" t="e">
        <f t="shared" si="127"/>
        <v>#VALUE!</v>
      </c>
      <c r="AC151" s="13" t="e">
        <f t="shared" si="128"/>
        <v>#VALUE!</v>
      </c>
      <c r="AD151" s="9" t="e">
        <f t="shared" si="129"/>
        <v>#VALUE!</v>
      </c>
      <c r="AE151" s="13" t="e">
        <f t="shared" si="130"/>
        <v>#VALUE!</v>
      </c>
      <c r="AF151" s="13" t="e">
        <f t="shared" si="131"/>
        <v>#VALUE!</v>
      </c>
      <c r="AG151" s="27" t="e">
        <f t="shared" si="92"/>
        <v>#VALUE!</v>
      </c>
      <c r="AH151" s="29" t="e">
        <f t="shared" si="93"/>
        <v>#VALUE!</v>
      </c>
      <c r="AI151" s="29" t="e">
        <f t="shared" si="94"/>
        <v>#VALUE!</v>
      </c>
      <c r="AJ151" s="29" t="e">
        <f t="shared" si="95"/>
        <v>#VALUE!</v>
      </c>
      <c r="AK151" s="27" t="e">
        <f t="shared" si="96"/>
        <v>#VALUE!</v>
      </c>
      <c r="AL151" s="27" t="e">
        <f t="shared" si="97"/>
        <v>#VALUE!</v>
      </c>
      <c r="AM151" s="27" t="e">
        <f t="shared" si="98"/>
        <v>#VALUE!</v>
      </c>
      <c r="AP151" s="10">
        <f t="shared" si="99"/>
        <v>-999</v>
      </c>
      <c r="AQ151" s="13">
        <f t="shared" si="100"/>
        <v>-999</v>
      </c>
      <c r="AR151" s="10">
        <f t="shared" si="101"/>
        <v>-999</v>
      </c>
      <c r="AS151" s="13">
        <f t="shared" si="102"/>
        <v>-999</v>
      </c>
      <c r="AV151" s="13">
        <f t="shared" si="103"/>
        <v>-999</v>
      </c>
      <c r="AW151" s="13">
        <f t="shared" si="104"/>
        <v>-999</v>
      </c>
      <c r="AY151" s="13">
        <f t="shared" si="105"/>
        <v>-999</v>
      </c>
      <c r="AZ151" s="13">
        <f t="shared" si="106"/>
        <v>-999</v>
      </c>
      <c r="BA151" s="13"/>
      <c r="BB151" s="13"/>
      <c r="BC151" s="10">
        <f t="shared" si="107"/>
        <v>-999</v>
      </c>
      <c r="BD151" s="10">
        <f t="shared" si="108"/>
        <v>-999</v>
      </c>
      <c r="BE151" s="13">
        <f t="shared" si="109"/>
        <v>-999</v>
      </c>
      <c r="BG151" s="9">
        <f t="shared" si="110"/>
        <v>-999</v>
      </c>
      <c r="BH151" s="13">
        <f t="shared" si="111"/>
        <v>-999</v>
      </c>
      <c r="BJ151" s="13">
        <f t="shared" si="112"/>
        <v>-999</v>
      </c>
      <c r="BK151" s="13">
        <f t="shared" si="113"/>
        <v>-999</v>
      </c>
      <c r="BL151" s="13"/>
      <c r="BM151" s="13">
        <f t="shared" si="114"/>
        <v>-999</v>
      </c>
      <c r="BN151" s="13">
        <f t="shared" si="115"/>
        <v>-999</v>
      </c>
      <c r="BO151" s="13"/>
      <c r="BP151" s="13"/>
      <c r="BQ151" s="10"/>
      <c r="BR151" s="10"/>
      <c r="BS151" s="13"/>
      <c r="BT151" s="13"/>
      <c r="BU151" s="23"/>
      <c r="BV151" s="23"/>
      <c r="BW151" s="13"/>
      <c r="BX151" s="13"/>
      <c r="BZ151" s="10">
        <f t="shared" si="133"/>
        <v>-999</v>
      </c>
      <c r="CA151" s="13">
        <f t="shared" si="134"/>
        <v>-999</v>
      </c>
      <c r="CB151" s="9">
        <f t="shared" si="135"/>
        <v>-999</v>
      </c>
      <c r="CC151" s="13">
        <f t="shared" si="136"/>
        <v>-999</v>
      </c>
      <c r="CD151">
        <f t="shared" si="116"/>
        <v>-999</v>
      </c>
      <c r="CE151" s="13">
        <f t="shared" si="117"/>
        <v>-999</v>
      </c>
      <c r="CF151" s="13"/>
      <c r="CV151" s="9" t="e">
        <f t="shared" si="123"/>
        <v>#VALUE!</v>
      </c>
      <c r="CW151" s="9" t="e">
        <f t="shared" si="118"/>
        <v>#VALUE!</v>
      </c>
      <c r="CX151" s="9"/>
      <c r="CY151" s="9" t="str">
        <f t="shared" si="119"/>
        <v/>
      </c>
      <c r="CZ151" s="9" t="str">
        <f t="shared" si="120"/>
        <v/>
      </c>
    </row>
    <row r="152" spans="1:104" x14ac:dyDescent="0.25">
      <c r="A152" s="6"/>
      <c r="B152" s="1"/>
      <c r="I152" s="6"/>
      <c r="L152" s="11" t="str">
        <f t="shared" si="121"/>
        <v/>
      </c>
      <c r="M152" s="11" t="str">
        <f t="shared" si="69"/>
        <v/>
      </c>
      <c r="N152" s="11" t="str">
        <f t="shared" si="70"/>
        <v/>
      </c>
      <c r="O152" s="11" t="str">
        <f t="shared" si="71"/>
        <v/>
      </c>
      <c r="P152" s="11" t="str">
        <f t="shared" si="72"/>
        <v/>
      </c>
      <c r="Q152" s="11" t="str">
        <f t="shared" si="73"/>
        <v/>
      </c>
      <c r="R152" s="11" t="str">
        <f t="shared" si="74"/>
        <v/>
      </c>
      <c r="S152" s="11" t="str">
        <f t="shared" si="75"/>
        <v/>
      </c>
      <c r="T152" s="11" t="str">
        <f t="shared" si="89"/>
        <v/>
      </c>
      <c r="U152" s="11" t="str">
        <f t="shared" si="90"/>
        <v/>
      </c>
      <c r="V152" s="11" t="str">
        <f t="shared" si="91"/>
        <v/>
      </c>
      <c r="W152" s="11"/>
      <c r="Y152" s="13" t="e">
        <f t="shared" si="124"/>
        <v>#VALUE!</v>
      </c>
      <c r="Z152" s="13" t="e">
        <f t="shared" si="125"/>
        <v>#VALUE!</v>
      </c>
      <c r="AA152" s="10" t="e">
        <f t="shared" si="126"/>
        <v>#VALUE!</v>
      </c>
      <c r="AB152" s="10" t="e">
        <f t="shared" si="127"/>
        <v>#VALUE!</v>
      </c>
      <c r="AC152" s="13" t="e">
        <f t="shared" si="128"/>
        <v>#VALUE!</v>
      </c>
      <c r="AD152" s="9" t="e">
        <f t="shared" si="129"/>
        <v>#VALUE!</v>
      </c>
      <c r="AE152" s="13" t="e">
        <f t="shared" si="130"/>
        <v>#VALUE!</v>
      </c>
      <c r="AF152" s="13" t="e">
        <f t="shared" si="131"/>
        <v>#VALUE!</v>
      </c>
      <c r="AG152" s="27" t="e">
        <f t="shared" si="92"/>
        <v>#VALUE!</v>
      </c>
      <c r="AH152" s="29" t="e">
        <f t="shared" si="93"/>
        <v>#VALUE!</v>
      </c>
      <c r="AI152" s="29" t="e">
        <f t="shared" si="94"/>
        <v>#VALUE!</v>
      </c>
      <c r="AJ152" s="29" t="e">
        <f t="shared" si="95"/>
        <v>#VALUE!</v>
      </c>
      <c r="AK152" s="27" t="e">
        <f t="shared" si="96"/>
        <v>#VALUE!</v>
      </c>
      <c r="AL152" s="27" t="e">
        <f t="shared" si="97"/>
        <v>#VALUE!</v>
      </c>
      <c r="AM152" s="27" t="e">
        <f t="shared" si="98"/>
        <v>#VALUE!</v>
      </c>
      <c r="AP152" s="10">
        <f t="shared" si="99"/>
        <v>-999</v>
      </c>
      <c r="AQ152" s="13">
        <f t="shared" si="100"/>
        <v>-999</v>
      </c>
      <c r="AR152" s="10">
        <f t="shared" si="101"/>
        <v>-999</v>
      </c>
      <c r="AS152" s="13">
        <f t="shared" si="102"/>
        <v>-999</v>
      </c>
      <c r="AV152" s="13">
        <f t="shared" si="103"/>
        <v>-999</v>
      </c>
      <c r="AW152" s="13">
        <f t="shared" si="104"/>
        <v>-999</v>
      </c>
      <c r="AY152" s="13">
        <f t="shared" si="105"/>
        <v>-999</v>
      </c>
      <c r="AZ152" s="13">
        <f t="shared" si="106"/>
        <v>-999</v>
      </c>
      <c r="BA152" s="13"/>
      <c r="BB152" s="13"/>
      <c r="BC152" s="10">
        <f t="shared" si="107"/>
        <v>-999</v>
      </c>
      <c r="BD152" s="10">
        <f t="shared" si="108"/>
        <v>-999</v>
      </c>
      <c r="BE152" s="13">
        <f t="shared" si="109"/>
        <v>-999</v>
      </c>
      <c r="BG152" s="9">
        <f t="shared" si="110"/>
        <v>-999</v>
      </c>
      <c r="BH152" s="13">
        <f t="shared" si="111"/>
        <v>-999</v>
      </c>
      <c r="BJ152" s="13">
        <f t="shared" si="112"/>
        <v>-999</v>
      </c>
      <c r="BK152" s="13">
        <f t="shared" si="113"/>
        <v>-999</v>
      </c>
      <c r="BL152" s="13"/>
      <c r="BM152" s="13">
        <f t="shared" si="114"/>
        <v>-999</v>
      </c>
      <c r="BN152" s="13">
        <f t="shared" si="115"/>
        <v>-999</v>
      </c>
      <c r="BO152" s="13"/>
      <c r="BP152" s="13"/>
      <c r="BQ152" s="10"/>
      <c r="BR152" s="10"/>
      <c r="BS152" s="13"/>
      <c r="BT152" s="13"/>
      <c r="BU152" s="23"/>
      <c r="BV152" s="23"/>
      <c r="BW152" s="13"/>
      <c r="BX152" s="13"/>
      <c r="BZ152" s="10">
        <f t="shared" si="133"/>
        <v>-999</v>
      </c>
      <c r="CA152" s="13">
        <f t="shared" si="134"/>
        <v>-999</v>
      </c>
      <c r="CB152" s="9">
        <f t="shared" si="135"/>
        <v>-999</v>
      </c>
      <c r="CC152" s="13">
        <f t="shared" si="136"/>
        <v>-999</v>
      </c>
      <c r="CD152">
        <f t="shared" si="116"/>
        <v>-999</v>
      </c>
      <c r="CE152" s="13">
        <f t="shared" si="117"/>
        <v>-999</v>
      </c>
      <c r="CF152" s="13"/>
      <c r="CV152" s="9" t="e">
        <f t="shared" si="123"/>
        <v>#VALUE!</v>
      </c>
      <c r="CW152" s="9" t="e">
        <f t="shared" si="118"/>
        <v>#VALUE!</v>
      </c>
      <c r="CX152" s="9"/>
      <c r="CY152" s="9" t="str">
        <f t="shared" si="119"/>
        <v/>
      </c>
      <c r="CZ152" s="9" t="str">
        <f t="shared" si="120"/>
        <v/>
      </c>
    </row>
    <row r="153" spans="1:104" x14ac:dyDescent="0.25">
      <c r="A153" s="6"/>
      <c r="B153" s="1"/>
      <c r="I153" s="6"/>
      <c r="L153" s="11" t="str">
        <f t="shared" si="121"/>
        <v/>
      </c>
      <c r="M153" s="11" t="str">
        <f t="shared" si="69"/>
        <v/>
      </c>
      <c r="N153" s="11" t="str">
        <f t="shared" si="70"/>
        <v/>
      </c>
      <c r="O153" s="11" t="str">
        <f t="shared" si="71"/>
        <v/>
      </c>
      <c r="P153" s="11" t="str">
        <f t="shared" si="72"/>
        <v/>
      </c>
      <c r="Q153" s="11" t="str">
        <f t="shared" si="73"/>
        <v/>
      </c>
      <c r="R153" s="11" t="str">
        <f t="shared" si="74"/>
        <v/>
      </c>
      <c r="S153" s="11" t="str">
        <f t="shared" si="75"/>
        <v/>
      </c>
      <c r="T153" s="11" t="str">
        <f t="shared" si="89"/>
        <v/>
      </c>
      <c r="U153" s="11" t="str">
        <f t="shared" si="90"/>
        <v/>
      </c>
      <c r="V153" s="11" t="str">
        <f t="shared" si="91"/>
        <v/>
      </c>
      <c r="W153" s="11"/>
      <c r="Y153" s="13" t="e">
        <f t="shared" si="124"/>
        <v>#VALUE!</v>
      </c>
      <c r="Z153" s="13" t="e">
        <f t="shared" si="125"/>
        <v>#VALUE!</v>
      </c>
      <c r="AA153" s="10" t="e">
        <f t="shared" si="126"/>
        <v>#VALUE!</v>
      </c>
      <c r="AB153" s="10" t="e">
        <f t="shared" si="127"/>
        <v>#VALUE!</v>
      </c>
      <c r="AC153" s="13" t="e">
        <f t="shared" si="128"/>
        <v>#VALUE!</v>
      </c>
      <c r="AD153" s="9" t="e">
        <f t="shared" si="129"/>
        <v>#VALUE!</v>
      </c>
      <c r="AE153" s="13" t="e">
        <f t="shared" si="130"/>
        <v>#VALUE!</v>
      </c>
      <c r="AF153" s="13" t="e">
        <f t="shared" si="131"/>
        <v>#VALUE!</v>
      </c>
      <c r="AG153" s="27" t="e">
        <f t="shared" si="92"/>
        <v>#VALUE!</v>
      </c>
      <c r="AH153" s="29" t="e">
        <f t="shared" si="93"/>
        <v>#VALUE!</v>
      </c>
      <c r="AI153" s="29" t="e">
        <f t="shared" si="94"/>
        <v>#VALUE!</v>
      </c>
      <c r="AJ153" s="29" t="e">
        <f t="shared" si="95"/>
        <v>#VALUE!</v>
      </c>
      <c r="AK153" s="27" t="e">
        <f t="shared" si="96"/>
        <v>#VALUE!</v>
      </c>
      <c r="AL153" s="27" t="e">
        <f t="shared" si="97"/>
        <v>#VALUE!</v>
      </c>
      <c r="AM153" s="27" t="e">
        <f t="shared" si="98"/>
        <v>#VALUE!</v>
      </c>
      <c r="AP153" s="10">
        <f t="shared" si="99"/>
        <v>-999</v>
      </c>
      <c r="AQ153" s="13">
        <f t="shared" si="100"/>
        <v>-999</v>
      </c>
      <c r="AR153" s="10">
        <f t="shared" si="101"/>
        <v>-999</v>
      </c>
      <c r="AS153" s="13">
        <f t="shared" si="102"/>
        <v>-999</v>
      </c>
      <c r="AV153" s="13">
        <f t="shared" si="103"/>
        <v>-999</v>
      </c>
      <c r="AW153" s="13">
        <f t="shared" si="104"/>
        <v>-999</v>
      </c>
      <c r="AY153" s="13">
        <f t="shared" si="105"/>
        <v>-999</v>
      </c>
      <c r="AZ153" s="13">
        <f t="shared" si="106"/>
        <v>-999</v>
      </c>
      <c r="BA153" s="13"/>
      <c r="BB153" s="13"/>
      <c r="BC153" s="10">
        <f t="shared" si="107"/>
        <v>-999</v>
      </c>
      <c r="BD153" s="10">
        <f t="shared" si="108"/>
        <v>-999</v>
      </c>
      <c r="BE153" s="13">
        <f t="shared" si="109"/>
        <v>-999</v>
      </c>
      <c r="BG153" s="9">
        <f t="shared" si="110"/>
        <v>-999</v>
      </c>
      <c r="BH153" s="13">
        <f t="shared" si="111"/>
        <v>-999</v>
      </c>
      <c r="BJ153" s="13">
        <f t="shared" si="112"/>
        <v>-999</v>
      </c>
      <c r="BK153" s="13">
        <f t="shared" si="113"/>
        <v>-999</v>
      </c>
      <c r="BL153" s="13"/>
      <c r="BM153" s="13">
        <f t="shared" si="114"/>
        <v>-999</v>
      </c>
      <c r="BN153" s="13">
        <f t="shared" si="115"/>
        <v>-999</v>
      </c>
      <c r="BO153" s="13"/>
      <c r="BP153" s="13"/>
      <c r="BQ153" s="10"/>
      <c r="BR153" s="10"/>
      <c r="BS153" s="13"/>
      <c r="BT153" s="13"/>
      <c r="BU153" s="23"/>
      <c r="BV153" s="23"/>
      <c r="BW153" s="13"/>
      <c r="BX153" s="13"/>
      <c r="BZ153" s="10">
        <f t="shared" si="133"/>
        <v>-999</v>
      </c>
      <c r="CA153" s="13">
        <f t="shared" si="134"/>
        <v>-999</v>
      </c>
      <c r="CB153" s="9">
        <f t="shared" si="135"/>
        <v>-999</v>
      </c>
      <c r="CC153" s="13">
        <f t="shared" si="136"/>
        <v>-999</v>
      </c>
      <c r="CD153">
        <f t="shared" si="116"/>
        <v>-999</v>
      </c>
      <c r="CE153" s="13">
        <f t="shared" si="117"/>
        <v>-999</v>
      </c>
      <c r="CF153" s="13"/>
      <c r="CV153" s="9" t="e">
        <f t="shared" si="123"/>
        <v>#VALUE!</v>
      </c>
      <c r="CW153" s="9" t="e">
        <f t="shared" si="118"/>
        <v>#VALUE!</v>
      </c>
      <c r="CX153" s="9"/>
      <c r="CY153" s="9" t="str">
        <f t="shared" si="119"/>
        <v/>
      </c>
      <c r="CZ153" s="9" t="str">
        <f t="shared" si="120"/>
        <v/>
      </c>
    </row>
    <row r="154" spans="1:104" x14ac:dyDescent="0.25">
      <c r="B154" s="1"/>
      <c r="I154" s="6"/>
      <c r="L154" s="11" t="str">
        <f t="shared" si="121"/>
        <v/>
      </c>
      <c r="M154" s="11" t="str">
        <f t="shared" si="69"/>
        <v/>
      </c>
      <c r="N154" s="11" t="str">
        <f t="shared" si="70"/>
        <v/>
      </c>
      <c r="O154" s="11" t="str">
        <f t="shared" si="71"/>
        <v/>
      </c>
      <c r="P154" s="11" t="str">
        <f t="shared" si="72"/>
        <v/>
      </c>
      <c r="Q154" s="11" t="str">
        <f t="shared" si="73"/>
        <v/>
      </c>
      <c r="R154" s="11" t="str">
        <f t="shared" si="74"/>
        <v/>
      </c>
      <c r="S154" s="11" t="str">
        <f t="shared" si="75"/>
        <v/>
      </c>
      <c r="T154" s="11" t="str">
        <f t="shared" si="89"/>
        <v/>
      </c>
      <c r="U154" s="11" t="str">
        <f t="shared" si="90"/>
        <v/>
      </c>
      <c r="V154" s="11" t="str">
        <f t="shared" si="91"/>
        <v/>
      </c>
      <c r="W154" s="11"/>
      <c r="Y154" s="13" t="e">
        <f t="shared" si="124"/>
        <v>#VALUE!</v>
      </c>
      <c r="Z154" s="13" t="e">
        <f t="shared" si="125"/>
        <v>#VALUE!</v>
      </c>
      <c r="AA154" s="10" t="e">
        <f t="shared" si="126"/>
        <v>#VALUE!</v>
      </c>
      <c r="AB154" s="10" t="e">
        <f t="shared" si="127"/>
        <v>#VALUE!</v>
      </c>
      <c r="AC154" s="13" t="e">
        <f t="shared" si="128"/>
        <v>#VALUE!</v>
      </c>
      <c r="AD154" s="9" t="e">
        <f t="shared" si="129"/>
        <v>#VALUE!</v>
      </c>
      <c r="AE154" s="13" t="e">
        <f t="shared" si="130"/>
        <v>#VALUE!</v>
      </c>
      <c r="AF154" s="13" t="e">
        <f t="shared" si="131"/>
        <v>#VALUE!</v>
      </c>
      <c r="AG154" s="27" t="e">
        <f t="shared" si="92"/>
        <v>#VALUE!</v>
      </c>
      <c r="AH154" s="29" t="e">
        <f t="shared" si="93"/>
        <v>#VALUE!</v>
      </c>
      <c r="AI154" s="29" t="e">
        <f t="shared" si="94"/>
        <v>#VALUE!</v>
      </c>
      <c r="AJ154" s="29" t="e">
        <f t="shared" si="95"/>
        <v>#VALUE!</v>
      </c>
      <c r="AK154" s="27" t="e">
        <f t="shared" si="96"/>
        <v>#VALUE!</v>
      </c>
      <c r="AL154" s="27" t="e">
        <f t="shared" si="97"/>
        <v>#VALUE!</v>
      </c>
      <c r="AM154" s="27" t="e">
        <f t="shared" si="98"/>
        <v>#VALUE!</v>
      </c>
      <c r="AP154" s="10">
        <f t="shared" si="99"/>
        <v>-999</v>
      </c>
      <c r="AQ154" s="13">
        <f t="shared" si="100"/>
        <v>-999</v>
      </c>
      <c r="AR154" s="10">
        <f t="shared" si="101"/>
        <v>-999</v>
      </c>
      <c r="AS154" s="13">
        <f t="shared" si="102"/>
        <v>-999</v>
      </c>
      <c r="AV154" s="13">
        <f t="shared" si="103"/>
        <v>-999</v>
      </c>
      <c r="AW154" s="13">
        <f t="shared" si="104"/>
        <v>-999</v>
      </c>
      <c r="AY154" s="13">
        <f t="shared" si="105"/>
        <v>-999</v>
      </c>
      <c r="AZ154" s="13">
        <f t="shared" si="106"/>
        <v>-999</v>
      </c>
      <c r="BA154" s="13"/>
      <c r="BB154" s="13"/>
      <c r="BC154" s="10">
        <f t="shared" si="107"/>
        <v>-999</v>
      </c>
      <c r="BD154" s="10">
        <f t="shared" si="108"/>
        <v>-999</v>
      </c>
      <c r="BE154" s="13">
        <f t="shared" si="109"/>
        <v>-999</v>
      </c>
      <c r="BG154" s="9">
        <f t="shared" si="110"/>
        <v>-999</v>
      </c>
      <c r="BH154" s="13">
        <f t="shared" si="111"/>
        <v>-999</v>
      </c>
      <c r="BJ154" s="13">
        <f t="shared" si="112"/>
        <v>-999</v>
      </c>
      <c r="BK154" s="13">
        <f t="shared" si="113"/>
        <v>-999</v>
      </c>
      <c r="BL154" s="13"/>
      <c r="BM154" s="13">
        <f t="shared" si="114"/>
        <v>-999</v>
      </c>
      <c r="BN154" s="13">
        <f t="shared" si="115"/>
        <v>-999</v>
      </c>
      <c r="BO154" s="13"/>
      <c r="BP154" s="13"/>
      <c r="BQ154" s="10"/>
      <c r="BR154" s="10"/>
      <c r="BS154" s="13"/>
      <c r="BT154" s="13"/>
      <c r="BU154" s="23"/>
      <c r="BV154" s="23"/>
      <c r="BW154" s="13"/>
      <c r="BX154" s="13"/>
      <c r="BZ154" s="10">
        <f t="shared" si="133"/>
        <v>-999</v>
      </c>
      <c r="CA154" s="13">
        <f t="shared" si="134"/>
        <v>-999</v>
      </c>
      <c r="CB154" s="9">
        <f t="shared" si="135"/>
        <v>-999</v>
      </c>
      <c r="CC154" s="13">
        <f t="shared" si="136"/>
        <v>-999</v>
      </c>
      <c r="CD154">
        <f t="shared" si="116"/>
        <v>-999</v>
      </c>
      <c r="CE154" s="13">
        <f t="shared" si="117"/>
        <v>-999</v>
      </c>
      <c r="CF154" s="13"/>
      <c r="CV154" s="9" t="e">
        <f t="shared" si="123"/>
        <v>#VALUE!</v>
      </c>
      <c r="CW154" s="9" t="e">
        <f t="shared" si="118"/>
        <v>#VALUE!</v>
      </c>
      <c r="CX154" s="9"/>
      <c r="CY154" s="9" t="str">
        <f t="shared" si="119"/>
        <v/>
      </c>
      <c r="CZ154" s="9" t="str">
        <f t="shared" si="120"/>
        <v/>
      </c>
    </row>
    <row r="155" spans="1:104" x14ac:dyDescent="0.25">
      <c r="B155" s="1"/>
      <c r="L155" s="11" t="str">
        <f t="shared" si="121"/>
        <v/>
      </c>
      <c r="M155" s="11" t="str">
        <f t="shared" si="69"/>
        <v/>
      </c>
      <c r="N155" s="11" t="str">
        <f t="shared" si="70"/>
        <v/>
      </c>
      <c r="O155" s="11" t="str">
        <f t="shared" si="71"/>
        <v/>
      </c>
      <c r="P155" s="11" t="str">
        <f t="shared" si="72"/>
        <v/>
      </c>
      <c r="Q155" s="11" t="str">
        <f t="shared" si="73"/>
        <v/>
      </c>
      <c r="R155" s="11" t="str">
        <f t="shared" si="74"/>
        <v/>
      </c>
      <c r="S155" s="11" t="str">
        <f t="shared" si="75"/>
        <v/>
      </c>
      <c r="T155" s="11" t="str">
        <f t="shared" si="89"/>
        <v/>
      </c>
      <c r="U155" s="11" t="str">
        <f t="shared" si="90"/>
        <v/>
      </c>
      <c r="V155" s="11" t="str">
        <f t="shared" si="91"/>
        <v/>
      </c>
      <c r="W155" s="11"/>
      <c r="Y155" s="13" t="e">
        <f t="shared" si="124"/>
        <v>#VALUE!</v>
      </c>
      <c r="Z155" s="13" t="e">
        <f t="shared" si="125"/>
        <v>#VALUE!</v>
      </c>
      <c r="AA155" s="10" t="e">
        <f t="shared" si="126"/>
        <v>#VALUE!</v>
      </c>
      <c r="AB155" s="10" t="e">
        <f t="shared" si="127"/>
        <v>#VALUE!</v>
      </c>
      <c r="AC155" s="13" t="e">
        <f t="shared" si="128"/>
        <v>#VALUE!</v>
      </c>
      <c r="AD155" s="9" t="e">
        <f t="shared" si="129"/>
        <v>#VALUE!</v>
      </c>
      <c r="AE155" s="13" t="e">
        <f t="shared" si="130"/>
        <v>#VALUE!</v>
      </c>
      <c r="AF155" s="13" t="e">
        <f t="shared" si="131"/>
        <v>#VALUE!</v>
      </c>
      <c r="AG155" s="27" t="e">
        <f t="shared" si="92"/>
        <v>#VALUE!</v>
      </c>
      <c r="AH155" s="29" t="e">
        <f t="shared" si="93"/>
        <v>#VALUE!</v>
      </c>
      <c r="AI155" s="29" t="e">
        <f t="shared" si="94"/>
        <v>#VALUE!</v>
      </c>
      <c r="AJ155" s="29" t="e">
        <f t="shared" si="95"/>
        <v>#VALUE!</v>
      </c>
      <c r="AK155" s="27" t="e">
        <f t="shared" si="96"/>
        <v>#VALUE!</v>
      </c>
      <c r="AL155" s="27" t="e">
        <f t="shared" si="97"/>
        <v>#VALUE!</v>
      </c>
      <c r="AM155" s="27" t="e">
        <f t="shared" si="98"/>
        <v>#VALUE!</v>
      </c>
      <c r="AP155" s="10">
        <f t="shared" si="99"/>
        <v>-999</v>
      </c>
      <c r="AQ155" s="13">
        <f t="shared" si="100"/>
        <v>-999</v>
      </c>
      <c r="AR155" s="10">
        <f t="shared" si="101"/>
        <v>-999</v>
      </c>
      <c r="AS155" s="13">
        <f t="shared" si="102"/>
        <v>-999</v>
      </c>
      <c r="AV155" s="13">
        <f t="shared" si="103"/>
        <v>-999</v>
      </c>
      <c r="AW155" s="13">
        <f t="shared" si="104"/>
        <v>-999</v>
      </c>
      <c r="AY155" s="13">
        <f t="shared" si="105"/>
        <v>-999</v>
      </c>
      <c r="AZ155" s="13">
        <f t="shared" si="106"/>
        <v>-999</v>
      </c>
      <c r="BA155" s="13"/>
      <c r="BB155" s="13"/>
      <c r="BC155" s="10">
        <f t="shared" si="107"/>
        <v>-999</v>
      </c>
      <c r="BD155" s="10">
        <f t="shared" si="108"/>
        <v>-999</v>
      </c>
      <c r="BE155" s="13">
        <f t="shared" si="109"/>
        <v>-999</v>
      </c>
      <c r="BG155" s="9">
        <f t="shared" si="110"/>
        <v>-999</v>
      </c>
      <c r="BH155" s="13">
        <f t="shared" si="111"/>
        <v>-999</v>
      </c>
      <c r="BJ155" s="13">
        <f t="shared" si="112"/>
        <v>-999</v>
      </c>
      <c r="BK155" s="13">
        <f t="shared" si="113"/>
        <v>-999</v>
      </c>
      <c r="BL155" s="13"/>
      <c r="BM155" s="13">
        <f t="shared" si="114"/>
        <v>-999</v>
      </c>
      <c r="BN155" s="13">
        <f t="shared" si="115"/>
        <v>-999</v>
      </c>
      <c r="BO155" s="13"/>
      <c r="BP155" s="13"/>
      <c r="BQ155" s="10"/>
      <c r="BR155" s="10"/>
      <c r="BS155" s="13"/>
      <c r="BT155" s="13"/>
      <c r="BU155" s="23"/>
      <c r="BV155" s="23"/>
      <c r="BW155" s="13"/>
      <c r="BX155" s="13"/>
      <c r="BZ155" s="10">
        <f t="shared" si="133"/>
        <v>-999</v>
      </c>
      <c r="CA155" s="13">
        <f t="shared" si="134"/>
        <v>-999</v>
      </c>
      <c r="CB155" s="9">
        <f t="shared" si="135"/>
        <v>-999</v>
      </c>
      <c r="CC155" s="13">
        <f t="shared" si="136"/>
        <v>-999</v>
      </c>
      <c r="CD155">
        <f t="shared" si="116"/>
        <v>-999</v>
      </c>
      <c r="CE155" s="13">
        <f t="shared" si="117"/>
        <v>-999</v>
      </c>
      <c r="CF155" s="13"/>
      <c r="CV155" s="9" t="e">
        <f t="shared" si="123"/>
        <v>#VALUE!</v>
      </c>
      <c r="CW155" s="9" t="e">
        <f t="shared" si="118"/>
        <v>#VALUE!</v>
      </c>
      <c r="CX155" s="9"/>
      <c r="CY155" s="9" t="str">
        <f t="shared" si="119"/>
        <v/>
      </c>
      <c r="CZ155" s="9" t="str">
        <f t="shared" si="120"/>
        <v/>
      </c>
    </row>
    <row r="156" spans="1:104" x14ac:dyDescent="0.25">
      <c r="B156" s="1"/>
      <c r="L156" s="9" t="str">
        <f t="shared" si="121"/>
        <v/>
      </c>
      <c r="M156" s="9" t="str">
        <f t="shared" ref="M156:M158" si="137">MID(B156,10,5)</f>
        <v/>
      </c>
      <c r="N156" s="9" t="str">
        <f t="shared" ref="N156:N158" si="138">MID(B156,17,5)</f>
        <v/>
      </c>
      <c r="O156" s="9" t="str">
        <f t="shared" ref="O156:O158" si="139">MID(B156,24,5)</f>
        <v/>
      </c>
      <c r="P156" s="9" t="str">
        <f t="shared" ref="P156:P158" si="140">MID(B156,33,3)</f>
        <v/>
      </c>
      <c r="Q156" s="9" t="str">
        <f t="shared" ref="Q156:Q158" si="141">MID(B156,38,5)</f>
        <v/>
      </c>
      <c r="R156" s="9" t="str">
        <f t="shared" ref="R156:R158" si="142">MID(B156,47,3)</f>
        <v/>
      </c>
      <c r="S156" s="9" t="str">
        <f t="shared" ref="S156:S158" si="143">MID(B156,54,3)</f>
        <v/>
      </c>
      <c r="T156" s="11" t="str">
        <f t="shared" si="89"/>
        <v/>
      </c>
      <c r="U156" s="11" t="str">
        <f t="shared" si="90"/>
        <v/>
      </c>
      <c r="V156" s="11" t="str">
        <f t="shared" si="91"/>
        <v/>
      </c>
      <c r="W156" s="9"/>
      <c r="Y156" s="13" t="e">
        <f t="shared" si="124"/>
        <v>#VALUE!</v>
      </c>
      <c r="Z156" s="13" t="e">
        <f t="shared" si="125"/>
        <v>#VALUE!</v>
      </c>
      <c r="AA156" s="10" t="e">
        <f t="shared" si="126"/>
        <v>#VALUE!</v>
      </c>
      <c r="AB156" s="10" t="e">
        <f t="shared" si="127"/>
        <v>#VALUE!</v>
      </c>
      <c r="AC156" s="13" t="e">
        <f t="shared" si="128"/>
        <v>#VALUE!</v>
      </c>
      <c r="AD156" s="9" t="e">
        <f t="shared" si="129"/>
        <v>#VALUE!</v>
      </c>
      <c r="AE156" s="13" t="e">
        <f t="shared" si="130"/>
        <v>#VALUE!</v>
      </c>
      <c r="AF156" s="13" t="e">
        <f t="shared" si="131"/>
        <v>#VALUE!</v>
      </c>
      <c r="AG156" s="27" t="e">
        <f t="shared" si="92"/>
        <v>#VALUE!</v>
      </c>
      <c r="AH156" s="29" t="e">
        <f t="shared" si="93"/>
        <v>#VALUE!</v>
      </c>
      <c r="AI156" s="29" t="e">
        <f t="shared" si="94"/>
        <v>#VALUE!</v>
      </c>
      <c r="AJ156" s="29" t="e">
        <f t="shared" si="95"/>
        <v>#VALUE!</v>
      </c>
      <c r="AK156" s="27" t="e">
        <f t="shared" si="96"/>
        <v>#VALUE!</v>
      </c>
      <c r="AL156" s="27" t="e">
        <f t="shared" si="97"/>
        <v>#VALUE!</v>
      </c>
      <c r="AM156" s="27" t="e">
        <f t="shared" si="98"/>
        <v>#VALUE!</v>
      </c>
      <c r="AP156" s="10">
        <f t="shared" si="99"/>
        <v>-999</v>
      </c>
      <c r="AQ156" s="13">
        <f t="shared" si="100"/>
        <v>-999</v>
      </c>
      <c r="AR156" s="10">
        <f t="shared" si="101"/>
        <v>-999</v>
      </c>
      <c r="AS156" s="13">
        <f t="shared" si="102"/>
        <v>-999</v>
      </c>
      <c r="AV156" s="13">
        <f t="shared" si="103"/>
        <v>-999</v>
      </c>
      <c r="AW156" s="13">
        <f t="shared" si="104"/>
        <v>-999</v>
      </c>
      <c r="AY156" s="13">
        <f t="shared" si="105"/>
        <v>-999</v>
      </c>
      <c r="AZ156" s="13">
        <f t="shared" si="106"/>
        <v>-999</v>
      </c>
      <c r="BA156" s="13"/>
      <c r="BB156" s="13"/>
      <c r="BC156" s="10">
        <f t="shared" si="107"/>
        <v>-999</v>
      </c>
      <c r="BD156" s="10">
        <f t="shared" si="108"/>
        <v>-999</v>
      </c>
      <c r="BE156" s="13">
        <f t="shared" si="109"/>
        <v>-999</v>
      </c>
      <c r="BG156" s="9">
        <f t="shared" si="110"/>
        <v>-999</v>
      </c>
      <c r="BH156" s="13">
        <f t="shared" si="111"/>
        <v>-999</v>
      </c>
      <c r="BJ156" s="13">
        <f t="shared" si="112"/>
        <v>-999</v>
      </c>
      <c r="BK156" s="13">
        <f t="shared" si="113"/>
        <v>-999</v>
      </c>
      <c r="BL156" s="13"/>
      <c r="BM156" s="13">
        <f t="shared" si="114"/>
        <v>-999</v>
      </c>
      <c r="BN156" s="13">
        <f t="shared" si="115"/>
        <v>-999</v>
      </c>
      <c r="BO156" s="13"/>
      <c r="BP156" s="13"/>
      <c r="BQ156" s="10"/>
      <c r="BR156" s="10"/>
      <c r="BS156" s="13"/>
      <c r="BT156" s="13"/>
      <c r="BU156" s="23"/>
      <c r="BV156" s="23"/>
      <c r="BW156" s="13"/>
      <c r="BX156" s="13"/>
      <c r="BZ156" s="10">
        <f t="shared" si="133"/>
        <v>-999</v>
      </c>
      <c r="CA156" s="13">
        <f t="shared" si="134"/>
        <v>-999</v>
      </c>
      <c r="CB156" s="9">
        <f t="shared" si="135"/>
        <v>-999</v>
      </c>
      <c r="CC156" s="13">
        <f t="shared" si="136"/>
        <v>-999</v>
      </c>
      <c r="CD156">
        <f t="shared" si="116"/>
        <v>-999</v>
      </c>
      <c r="CE156" s="13">
        <f t="shared" si="117"/>
        <v>-999</v>
      </c>
      <c r="CF156" s="13"/>
      <c r="CV156" s="9" t="e">
        <f t="shared" si="123"/>
        <v>#VALUE!</v>
      </c>
      <c r="CW156" s="9" t="e">
        <f t="shared" si="118"/>
        <v>#VALUE!</v>
      </c>
      <c r="CX156" s="9"/>
      <c r="CY156" s="9" t="str">
        <f t="shared" si="119"/>
        <v/>
      </c>
      <c r="CZ156" s="9" t="str">
        <f t="shared" si="120"/>
        <v/>
      </c>
    </row>
    <row r="157" spans="1:104" x14ac:dyDescent="0.25">
      <c r="B157" s="1"/>
      <c r="L157" s="9" t="str">
        <f t="shared" si="121"/>
        <v/>
      </c>
      <c r="M157" s="9" t="str">
        <f t="shared" si="137"/>
        <v/>
      </c>
      <c r="N157" s="9" t="str">
        <f t="shared" si="138"/>
        <v/>
      </c>
      <c r="O157" s="9" t="str">
        <f t="shared" si="139"/>
        <v/>
      </c>
      <c r="P157" s="9" t="str">
        <f t="shared" si="140"/>
        <v/>
      </c>
      <c r="Q157" s="9" t="str">
        <f t="shared" si="141"/>
        <v/>
      </c>
      <c r="R157" s="9" t="str">
        <f t="shared" si="142"/>
        <v/>
      </c>
      <c r="S157" s="9" t="str">
        <f t="shared" si="143"/>
        <v/>
      </c>
      <c r="T157" s="11" t="str">
        <f t="shared" ref="T157:T159" si="144">MID(B157,59,5)</f>
        <v/>
      </c>
      <c r="U157" s="11" t="str">
        <f t="shared" ref="U157:U159" si="145">MID(B157,66,5)</f>
        <v/>
      </c>
      <c r="V157" s="11" t="str">
        <f t="shared" ref="V157:V159" si="146">MID(B157,73,5)</f>
        <v/>
      </c>
      <c r="W157" s="9"/>
      <c r="Y157" s="13" t="e">
        <f t="shared" si="124"/>
        <v>#VALUE!</v>
      </c>
      <c r="Z157" s="13" t="e">
        <f t="shared" si="125"/>
        <v>#VALUE!</v>
      </c>
      <c r="AA157" s="10" t="e">
        <f t="shared" si="126"/>
        <v>#VALUE!</v>
      </c>
      <c r="AB157" s="10" t="e">
        <f t="shared" si="127"/>
        <v>#VALUE!</v>
      </c>
      <c r="AC157" s="13" t="e">
        <f t="shared" si="128"/>
        <v>#VALUE!</v>
      </c>
      <c r="AD157" s="9" t="e">
        <f t="shared" si="129"/>
        <v>#VALUE!</v>
      </c>
      <c r="AE157" s="13" t="e">
        <f t="shared" si="130"/>
        <v>#VALUE!</v>
      </c>
      <c r="AF157" s="13" t="e">
        <f t="shared" si="131"/>
        <v>#VALUE!</v>
      </c>
      <c r="AG157" s="27" t="e">
        <f t="shared" ref="AG157:AG159" si="147">AF157*1.852</f>
        <v>#VALUE!</v>
      </c>
      <c r="AH157" s="29" t="e">
        <f t="shared" ref="AH157:AH159" si="148">SUBSTITUTE(T157,".",",")*1</f>
        <v>#VALUE!</v>
      </c>
      <c r="AI157" s="29" t="e">
        <f t="shared" ref="AI157:AI159" si="149">SUBSTITUTE(U157,".",",")*1</f>
        <v>#VALUE!</v>
      </c>
      <c r="AJ157" s="29" t="e">
        <f t="shared" ref="AJ157:AJ159" si="150">SUBSTITUTE(V157,".",",")*1</f>
        <v>#VALUE!</v>
      </c>
      <c r="AK157" s="27" t="e">
        <f t="shared" ref="AK157:AK159" si="151">AH157-273.15</f>
        <v>#VALUE!</v>
      </c>
      <c r="AL157" s="27" t="e">
        <f t="shared" ref="AL157:AL159" si="152">AI157-273.15</f>
        <v>#VALUE!</v>
      </c>
      <c r="AM157" s="27" t="e">
        <f t="shared" ref="AM157:AM159" si="153">AJ157-273.15</f>
        <v>#VALUE!</v>
      </c>
      <c r="AP157" s="10">
        <f t="shared" ref="AP157:AP159" si="154">IFERROR(AB157,-999)</f>
        <v>-999</v>
      </c>
      <c r="AQ157" s="13">
        <f t="shared" ref="AQ157:AQ159" si="155">IFERROR(Z157,-999)</f>
        <v>-999</v>
      </c>
      <c r="AR157" s="10">
        <f t="shared" ref="AR157:AR159" si="156">IFERROR(AA157,-999)</f>
        <v>-999</v>
      </c>
      <c r="AS157" s="13">
        <f t="shared" ref="AS157:AS159" si="157">IFERROR(Z157,-999)</f>
        <v>-999</v>
      </c>
      <c r="AV157" s="13">
        <f t="shared" ref="AV157:AV159" si="158">IFERROR(Y157,-999)</f>
        <v>-999</v>
      </c>
      <c r="AW157" s="13">
        <f t="shared" ref="AW157:AW159" si="159">IFERROR(Z157,-999)</f>
        <v>-999</v>
      </c>
      <c r="AY157" s="13">
        <f t="shared" ref="AY157:AY159" si="160">IFERROR(AC157,-999)</f>
        <v>-999</v>
      </c>
      <c r="AZ157" s="13">
        <f t="shared" ref="AZ157:AZ159" si="161">IFERROR(Z157,-999)</f>
        <v>-999</v>
      </c>
      <c r="BA157" s="13"/>
      <c r="BB157" s="13"/>
      <c r="BC157" s="10">
        <f t="shared" ref="BC157:BC159" si="162">IF(BE157=-999,-999,AR157-AP157)</f>
        <v>-999</v>
      </c>
      <c r="BD157" s="10">
        <f t="shared" ref="BD157:BD159" si="163">IFERROR(BC157,-999)</f>
        <v>-999</v>
      </c>
      <c r="BE157" s="13">
        <f t="shared" ref="BE157:BE159" si="164">IFERROR(Z157,-999)</f>
        <v>-999</v>
      </c>
      <c r="BG157" s="9">
        <f t="shared" ref="BG157:BG159" si="165">IFERROR(AD157,-999)</f>
        <v>-999</v>
      </c>
      <c r="BH157" s="13">
        <f t="shared" ref="BH157:BH159" si="166">IFERROR(Z157,-999)</f>
        <v>-999</v>
      </c>
      <c r="BJ157" s="13">
        <f t="shared" ref="BJ157:BJ159" si="167">IFERROR(AE157,-999)</f>
        <v>-999</v>
      </c>
      <c r="BK157" s="13">
        <f t="shared" ref="BK157:BK159" si="168">IFERROR(Z157,-999)</f>
        <v>-999</v>
      </c>
      <c r="BL157" s="13"/>
      <c r="BM157" s="13">
        <f t="shared" ref="BM157:BM159" si="169">IFERROR(AG157,-999)</f>
        <v>-999</v>
      </c>
      <c r="BN157" s="13">
        <f t="shared" ref="BN157:BN159" si="170">IFERROR(Z157,-999)</f>
        <v>-999</v>
      </c>
      <c r="BO157" s="13"/>
      <c r="BP157" s="13"/>
      <c r="BQ157" s="10"/>
      <c r="BR157" s="10"/>
      <c r="BS157" s="13"/>
      <c r="BT157" s="13"/>
      <c r="BU157" s="23"/>
      <c r="BV157" s="23"/>
      <c r="BW157" s="13"/>
      <c r="BX157" s="13"/>
      <c r="BZ157" s="10">
        <f t="shared" si="133"/>
        <v>-999</v>
      </c>
      <c r="CA157" s="13">
        <f t="shared" si="134"/>
        <v>-999</v>
      </c>
      <c r="CB157" s="9">
        <f t="shared" si="135"/>
        <v>-999</v>
      </c>
      <c r="CC157" s="13">
        <f t="shared" si="136"/>
        <v>-999</v>
      </c>
      <c r="CD157">
        <f t="shared" ref="CD157:CD159" si="171">IFERROR(Z157,-999)</f>
        <v>-999</v>
      </c>
      <c r="CE157" s="13">
        <f t="shared" ref="CE157:CE159" si="172">IFERROR(Y157,-999)</f>
        <v>-999</v>
      </c>
      <c r="CF157" s="13"/>
      <c r="CV157" s="9" t="e">
        <f t="shared" si="123"/>
        <v>#VALUE!</v>
      </c>
      <c r="CW157" s="9" t="e">
        <f t="shared" ref="CW157:CW158" si="173">(CV157+CV158)/2*(AD157+AD158)/2*(Z158-Z157)</f>
        <v>#VALUE!</v>
      </c>
      <c r="CX157" s="9"/>
      <c r="CY157" s="9" t="str">
        <f t="shared" ref="CY157:CY159" si="174">IFERROR(CV157,"")</f>
        <v/>
      </c>
      <c r="CZ157" s="9" t="str">
        <f t="shared" ref="CZ157:CZ159" si="175">IFERROR(CW157,"")</f>
        <v/>
      </c>
    </row>
    <row r="158" spans="1:104" x14ac:dyDescent="0.25">
      <c r="B158" s="1"/>
      <c r="L158" s="9" t="str">
        <f t="shared" ref="L158" si="176">MID(B158,1,7)</f>
        <v/>
      </c>
      <c r="M158" s="9" t="str">
        <f t="shared" si="137"/>
        <v/>
      </c>
      <c r="N158" s="9" t="str">
        <f t="shared" si="138"/>
        <v/>
      </c>
      <c r="O158" s="9" t="str">
        <f t="shared" si="139"/>
        <v/>
      </c>
      <c r="P158" s="9" t="str">
        <f t="shared" si="140"/>
        <v/>
      </c>
      <c r="Q158" s="9" t="str">
        <f t="shared" si="141"/>
        <v/>
      </c>
      <c r="R158" s="9" t="str">
        <f t="shared" si="142"/>
        <v/>
      </c>
      <c r="S158" s="9" t="str">
        <f t="shared" si="143"/>
        <v/>
      </c>
      <c r="T158" s="11" t="str">
        <f t="shared" si="144"/>
        <v/>
      </c>
      <c r="U158" s="11" t="str">
        <f t="shared" si="145"/>
        <v/>
      </c>
      <c r="V158" s="11" t="str">
        <f t="shared" si="146"/>
        <v/>
      </c>
      <c r="W158" s="9"/>
      <c r="Y158" s="13" t="e">
        <f t="shared" si="124"/>
        <v>#VALUE!</v>
      </c>
      <c r="Z158" s="13" t="e">
        <f t="shared" si="125"/>
        <v>#VALUE!</v>
      </c>
      <c r="AA158" s="10" t="e">
        <f t="shared" si="126"/>
        <v>#VALUE!</v>
      </c>
      <c r="AB158" s="10" t="e">
        <f t="shared" si="127"/>
        <v>#VALUE!</v>
      </c>
      <c r="AC158" s="13" t="e">
        <f t="shared" si="128"/>
        <v>#VALUE!</v>
      </c>
      <c r="AD158" s="9" t="e">
        <f t="shared" si="129"/>
        <v>#VALUE!</v>
      </c>
      <c r="AE158" s="13" t="e">
        <f t="shared" si="130"/>
        <v>#VALUE!</v>
      </c>
      <c r="AF158" s="13" t="e">
        <f t="shared" si="131"/>
        <v>#VALUE!</v>
      </c>
      <c r="AG158" s="27" t="e">
        <f t="shared" si="147"/>
        <v>#VALUE!</v>
      </c>
      <c r="AH158" s="29" t="e">
        <f t="shared" si="148"/>
        <v>#VALUE!</v>
      </c>
      <c r="AI158" s="29" t="e">
        <f t="shared" si="149"/>
        <v>#VALUE!</v>
      </c>
      <c r="AJ158" s="29" t="e">
        <f t="shared" si="150"/>
        <v>#VALUE!</v>
      </c>
      <c r="AK158" s="27" t="e">
        <f t="shared" si="151"/>
        <v>#VALUE!</v>
      </c>
      <c r="AL158" s="27" t="e">
        <f t="shared" si="152"/>
        <v>#VALUE!</v>
      </c>
      <c r="AM158" s="27" t="e">
        <f t="shared" si="153"/>
        <v>#VALUE!</v>
      </c>
      <c r="AP158" s="10">
        <f t="shared" si="154"/>
        <v>-999</v>
      </c>
      <c r="AQ158" s="13">
        <f t="shared" si="155"/>
        <v>-999</v>
      </c>
      <c r="AR158" s="10">
        <f t="shared" si="156"/>
        <v>-999</v>
      </c>
      <c r="AS158" s="13">
        <f t="shared" si="157"/>
        <v>-999</v>
      </c>
      <c r="AV158" s="13">
        <f t="shared" si="158"/>
        <v>-999</v>
      </c>
      <c r="AW158" s="13">
        <f t="shared" si="159"/>
        <v>-999</v>
      </c>
      <c r="AY158" s="13">
        <f t="shared" si="160"/>
        <v>-999</v>
      </c>
      <c r="AZ158" s="13">
        <f t="shared" si="161"/>
        <v>-999</v>
      </c>
      <c r="BA158" s="13"/>
      <c r="BB158" s="13"/>
      <c r="BC158" s="10">
        <f t="shared" si="162"/>
        <v>-999</v>
      </c>
      <c r="BD158" s="10">
        <f t="shared" si="163"/>
        <v>-999</v>
      </c>
      <c r="BE158" s="13">
        <f t="shared" si="164"/>
        <v>-999</v>
      </c>
      <c r="BG158" s="9">
        <f t="shared" si="165"/>
        <v>-999</v>
      </c>
      <c r="BH158" s="13">
        <f t="shared" si="166"/>
        <v>-999</v>
      </c>
      <c r="BJ158" s="13">
        <f t="shared" si="167"/>
        <v>-999</v>
      </c>
      <c r="BK158" s="13">
        <f t="shared" si="168"/>
        <v>-999</v>
      </c>
      <c r="BL158" s="13"/>
      <c r="BM158" s="13">
        <f t="shared" si="169"/>
        <v>-999</v>
      </c>
      <c r="BN158" s="13">
        <f t="shared" si="170"/>
        <v>-999</v>
      </c>
      <c r="BO158" s="13"/>
      <c r="BP158" s="13"/>
      <c r="BQ158" s="10"/>
      <c r="BR158" s="10"/>
      <c r="BS158" s="13"/>
      <c r="BT158" s="13"/>
      <c r="BU158" s="23"/>
      <c r="BV158" s="23"/>
      <c r="BW158" s="13"/>
      <c r="BX158" s="13"/>
      <c r="BZ158" s="10">
        <f t="shared" si="133"/>
        <v>-999</v>
      </c>
      <c r="CA158" s="13">
        <f t="shared" si="134"/>
        <v>-999</v>
      </c>
      <c r="CB158" s="9">
        <f t="shared" si="135"/>
        <v>-999</v>
      </c>
      <c r="CC158" s="13">
        <f t="shared" si="136"/>
        <v>-999</v>
      </c>
      <c r="CD158">
        <f t="shared" si="171"/>
        <v>-999</v>
      </c>
      <c r="CE158" s="13">
        <f t="shared" si="172"/>
        <v>-999</v>
      </c>
      <c r="CF158" s="13"/>
      <c r="CV158" s="9" t="e">
        <f t="shared" ref="CV158:CV159" si="177">Y158*100/(287.058*(AA158+273.15))</f>
        <v>#VALUE!</v>
      </c>
      <c r="CW158" s="9" t="e">
        <f t="shared" si="173"/>
        <v>#VALUE!</v>
      </c>
      <c r="CX158" s="9"/>
      <c r="CY158" s="9" t="str">
        <f t="shared" si="174"/>
        <v/>
      </c>
      <c r="CZ158" s="9" t="str">
        <f t="shared" si="175"/>
        <v/>
      </c>
    </row>
    <row r="159" spans="1:104" x14ac:dyDescent="0.25">
      <c r="B159" s="1"/>
      <c r="T159" s="11" t="str">
        <f t="shared" si="144"/>
        <v/>
      </c>
      <c r="U159" s="11" t="str">
        <f t="shared" si="145"/>
        <v/>
      </c>
      <c r="V159" s="11" t="str">
        <f t="shared" si="146"/>
        <v/>
      </c>
      <c r="Y159" s="13" t="e">
        <f t="shared" si="124"/>
        <v>#VALUE!</v>
      </c>
      <c r="Z159" s="13" t="e">
        <f t="shared" si="125"/>
        <v>#VALUE!</v>
      </c>
      <c r="AA159" s="10" t="e">
        <f t="shared" si="126"/>
        <v>#VALUE!</v>
      </c>
      <c r="AB159" s="10" t="e">
        <f t="shared" si="127"/>
        <v>#VALUE!</v>
      </c>
      <c r="AC159" s="13" t="e">
        <f t="shared" si="128"/>
        <v>#VALUE!</v>
      </c>
      <c r="AD159" s="9" t="e">
        <f t="shared" si="129"/>
        <v>#VALUE!</v>
      </c>
      <c r="AE159" s="13" t="e">
        <f t="shared" si="130"/>
        <v>#VALUE!</v>
      </c>
      <c r="AF159" s="13" t="e">
        <f t="shared" si="131"/>
        <v>#VALUE!</v>
      </c>
      <c r="AG159" s="27" t="e">
        <f t="shared" si="147"/>
        <v>#VALUE!</v>
      </c>
      <c r="AH159" s="29" t="e">
        <f t="shared" si="148"/>
        <v>#VALUE!</v>
      </c>
      <c r="AI159" s="29" t="e">
        <f t="shared" si="149"/>
        <v>#VALUE!</v>
      </c>
      <c r="AJ159" s="29" t="e">
        <f t="shared" si="150"/>
        <v>#VALUE!</v>
      </c>
      <c r="AK159" s="27" t="e">
        <f t="shared" si="151"/>
        <v>#VALUE!</v>
      </c>
      <c r="AL159" s="27" t="e">
        <f t="shared" si="152"/>
        <v>#VALUE!</v>
      </c>
      <c r="AM159" s="27" t="e">
        <f t="shared" si="153"/>
        <v>#VALUE!</v>
      </c>
      <c r="AP159" s="10">
        <f t="shared" si="154"/>
        <v>-999</v>
      </c>
      <c r="AQ159" s="13">
        <f t="shared" si="155"/>
        <v>-999</v>
      </c>
      <c r="AR159" s="10">
        <f t="shared" si="156"/>
        <v>-999</v>
      </c>
      <c r="AS159" s="13">
        <f t="shared" si="157"/>
        <v>-999</v>
      </c>
      <c r="AV159" s="13">
        <f t="shared" si="158"/>
        <v>-999</v>
      </c>
      <c r="AW159" s="13">
        <f t="shared" si="159"/>
        <v>-999</v>
      </c>
      <c r="AY159" s="13">
        <f t="shared" si="160"/>
        <v>-999</v>
      </c>
      <c r="AZ159" s="13">
        <f t="shared" si="161"/>
        <v>-999</v>
      </c>
      <c r="BA159" s="13"/>
      <c r="BB159" s="13"/>
      <c r="BC159" s="10">
        <f t="shared" si="162"/>
        <v>-999</v>
      </c>
      <c r="BD159" s="10">
        <f t="shared" si="163"/>
        <v>-999</v>
      </c>
      <c r="BE159" s="13">
        <f t="shared" si="164"/>
        <v>-999</v>
      </c>
      <c r="BG159" s="9">
        <f t="shared" si="165"/>
        <v>-999</v>
      </c>
      <c r="BH159" s="13">
        <f t="shared" si="166"/>
        <v>-999</v>
      </c>
      <c r="BJ159" s="13">
        <f t="shared" si="167"/>
        <v>-999</v>
      </c>
      <c r="BK159" s="13">
        <f t="shared" si="168"/>
        <v>-999</v>
      </c>
      <c r="BL159" s="13"/>
      <c r="BM159" s="13">
        <f t="shared" si="169"/>
        <v>-999</v>
      </c>
      <c r="BN159" s="13">
        <f t="shared" si="170"/>
        <v>-999</v>
      </c>
      <c r="BO159" s="13"/>
      <c r="BP159" s="13"/>
      <c r="BQ159" s="10"/>
      <c r="BR159" s="10"/>
      <c r="BS159" s="13"/>
      <c r="BT159" s="13"/>
      <c r="BU159" s="23"/>
      <c r="BV159" s="23"/>
      <c r="BW159" s="13"/>
      <c r="BX159" s="13"/>
      <c r="BZ159" s="10">
        <f t="shared" si="133"/>
        <v>-999</v>
      </c>
      <c r="CA159" s="13">
        <f t="shared" si="134"/>
        <v>-999</v>
      </c>
      <c r="CB159" s="9">
        <f t="shared" si="135"/>
        <v>-999</v>
      </c>
      <c r="CC159" s="13">
        <f t="shared" si="136"/>
        <v>-999</v>
      </c>
      <c r="CD159">
        <f t="shared" si="171"/>
        <v>-999</v>
      </c>
      <c r="CE159" s="13">
        <f t="shared" si="172"/>
        <v>-999</v>
      </c>
      <c r="CF159" s="13"/>
      <c r="CV159" s="9" t="e">
        <f t="shared" si="177"/>
        <v>#VALUE!</v>
      </c>
      <c r="CW159" s="9" t="e">
        <f>(CV159+CV160)/2*(AD159+AD160)/2*(Z160-Z159)</f>
        <v>#VALUE!</v>
      </c>
      <c r="CX159" s="9"/>
      <c r="CY159" s="9" t="str">
        <f t="shared" si="174"/>
        <v/>
      </c>
      <c r="CZ159" s="9" t="str">
        <f t="shared" si="175"/>
        <v/>
      </c>
    </row>
    <row r="160" spans="1:104" x14ac:dyDescent="0.25">
      <c r="Y160" s="13"/>
      <c r="BZ160" s="10"/>
      <c r="CA160" s="13"/>
      <c r="CB160" s="9"/>
      <c r="CC160" s="10"/>
    </row>
    <row r="161" spans="25:105" x14ac:dyDescent="0.25">
      <c r="Y161" s="13"/>
    </row>
    <row r="162" spans="25:105" x14ac:dyDescent="0.25">
      <c r="Y162" s="13"/>
    </row>
    <row r="163" spans="25:105" x14ac:dyDescent="0.25">
      <c r="Y163" s="13"/>
      <c r="CZ163">
        <f>SUM(CZ28:CZ159)</f>
        <v>41582.538382006824</v>
      </c>
    </row>
    <row r="164" spans="25:105" x14ac:dyDescent="0.25">
      <c r="Y164" s="13"/>
    </row>
    <row r="165" spans="25:105" x14ac:dyDescent="0.25">
      <c r="Y165" s="13"/>
      <c r="CZ165" s="84">
        <f>CZ163/1000</f>
        <v>41.582538382006824</v>
      </c>
      <c r="DA165" t="s">
        <v>128</v>
      </c>
    </row>
    <row r="166" spans="25:105" x14ac:dyDescent="0.25">
      <c r="Y166" s="13"/>
    </row>
    <row r="167" spans="25:105" x14ac:dyDescent="0.25">
      <c r="Y167" s="13"/>
    </row>
    <row r="168" spans="25:105" x14ac:dyDescent="0.25">
      <c r="Y168" s="13"/>
    </row>
    <row r="169" spans="25:105" x14ac:dyDescent="0.25">
      <c r="Y169" s="13"/>
    </row>
    <row r="170" spans="25:105" x14ac:dyDescent="0.25">
      <c r="Y170" s="13"/>
    </row>
    <row r="171" spans="25:105" x14ac:dyDescent="0.25">
      <c r="Y171" s="13"/>
    </row>
  </sheetData>
  <sheetProtection password="E3E2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4"/>
  <sheetViews>
    <sheetView zoomScaleNormal="100" workbookViewId="0">
      <selection activeCell="Q27" sqref="Q27"/>
    </sheetView>
  </sheetViews>
  <sheetFormatPr baseColWidth="10" defaultRowHeight="15" x14ac:dyDescent="0.25"/>
  <sheetData>
    <row r="1" spans="2:4" ht="23.25" x14ac:dyDescent="0.35">
      <c r="B1" s="18" t="s">
        <v>28</v>
      </c>
    </row>
    <row r="3" spans="2:4" x14ac:dyDescent="0.25">
      <c r="B3" t="s">
        <v>1</v>
      </c>
      <c r="C3" t="s">
        <v>27</v>
      </c>
      <c r="D3" t="s">
        <v>2</v>
      </c>
    </row>
    <row r="4" spans="2:4" x14ac:dyDescent="0.25">
      <c r="B4">
        <v>0</v>
      </c>
      <c r="C4" s="9">
        <f>1013.25*(1-(0.0065*B4/288.15))^5.255</f>
        <v>1013.25</v>
      </c>
      <c r="D4" s="28">
        <f>'Daten Auswertung'!AA28</f>
        <v>28.2</v>
      </c>
    </row>
    <row r="5" spans="2:4" x14ac:dyDescent="0.25">
      <c r="B5">
        <v>100</v>
      </c>
      <c r="C5" s="9">
        <f>1013.25*(1-(0.0065*B5/288.15))^5.255</f>
        <v>1001.2963668583966</v>
      </c>
      <c r="D5">
        <f>D$4-(6.5/1000)*B5</f>
        <v>27.55</v>
      </c>
    </row>
    <row r="6" spans="2:4" x14ac:dyDescent="0.25">
      <c r="B6">
        <v>200</v>
      </c>
      <c r="C6" s="9">
        <f t="shared" ref="C6:C69" si="0">1013.25*(1-(0.0065*B6/288.15))^5.255</f>
        <v>989.45717620672986</v>
      </c>
      <c r="D6">
        <f>D$4-(6.5/1000)*B6</f>
        <v>26.9</v>
      </c>
    </row>
    <row r="7" spans="2:4" x14ac:dyDescent="0.25">
      <c r="B7">
        <v>300</v>
      </c>
      <c r="C7" s="9">
        <f t="shared" si="0"/>
        <v>977.73158799424095</v>
      </c>
      <c r="D7">
        <f t="shared" ref="D7:D70" si="1">D$4-(6.5/1000)*B7</f>
        <v>26.25</v>
      </c>
    </row>
    <row r="8" spans="2:4" x14ac:dyDescent="0.25">
      <c r="B8">
        <v>400</v>
      </c>
      <c r="C8" s="9">
        <f t="shared" si="0"/>
        <v>966.11876645171969</v>
      </c>
      <c r="D8">
        <f t="shared" si="1"/>
        <v>25.599999999999998</v>
      </c>
    </row>
    <row r="9" spans="2:4" x14ac:dyDescent="0.25">
      <c r="B9">
        <v>500</v>
      </c>
      <c r="C9" s="9">
        <f t="shared" si="0"/>
        <v>954.61788007933478</v>
      </c>
      <c r="D9">
        <f t="shared" si="1"/>
        <v>24.95</v>
      </c>
    </row>
    <row r="10" spans="2:4" x14ac:dyDescent="0.25">
      <c r="B10">
        <v>600</v>
      </c>
      <c r="C10" s="9">
        <f t="shared" si="0"/>
        <v>943.22810163446445</v>
      </c>
      <c r="D10">
        <f t="shared" si="1"/>
        <v>24.3</v>
      </c>
    </row>
    <row r="11" spans="2:4" x14ac:dyDescent="0.25">
      <c r="B11">
        <v>700</v>
      </c>
      <c r="C11" s="9">
        <f t="shared" si="0"/>
        <v>931.94860811954084</v>
      </c>
      <c r="D11">
        <f t="shared" si="1"/>
        <v>23.65</v>
      </c>
    </row>
    <row r="12" spans="2:4" x14ac:dyDescent="0.25">
      <c r="B12">
        <v>800</v>
      </c>
      <c r="C12" s="9">
        <f t="shared" si="0"/>
        <v>920.77858076989821</v>
      </c>
      <c r="D12">
        <f t="shared" si="1"/>
        <v>23</v>
      </c>
    </row>
    <row r="13" spans="2:4" x14ac:dyDescent="0.25">
      <c r="B13">
        <v>900</v>
      </c>
      <c r="C13" s="9">
        <f t="shared" si="0"/>
        <v>909.71720504162829</v>
      </c>
      <c r="D13">
        <f t="shared" si="1"/>
        <v>22.35</v>
      </c>
    </row>
    <row r="14" spans="2:4" x14ac:dyDescent="0.25">
      <c r="B14">
        <v>1000</v>
      </c>
      <c r="C14" s="9">
        <f t="shared" si="0"/>
        <v>898.7636705994438</v>
      </c>
      <c r="D14">
        <f t="shared" si="1"/>
        <v>21.7</v>
      </c>
    </row>
    <row r="15" spans="2:4" x14ac:dyDescent="0.25">
      <c r="B15">
        <v>1100</v>
      </c>
      <c r="C15" s="9">
        <f t="shared" si="0"/>
        <v>887.91717130454788</v>
      </c>
      <c r="D15">
        <f t="shared" si="1"/>
        <v>21.05</v>
      </c>
    </row>
    <row r="16" spans="2:4" x14ac:dyDescent="0.25">
      <c r="B16">
        <v>1200</v>
      </c>
      <c r="C16" s="9">
        <f t="shared" si="0"/>
        <v>877.17690520251165</v>
      </c>
      <c r="D16">
        <f t="shared" si="1"/>
        <v>20.399999999999999</v>
      </c>
    </row>
    <row r="17" spans="2:4" x14ac:dyDescent="0.25">
      <c r="B17">
        <v>1300</v>
      </c>
      <c r="C17" s="9">
        <f t="shared" si="0"/>
        <v>866.54207451115929</v>
      </c>
      <c r="D17">
        <f t="shared" si="1"/>
        <v>19.75</v>
      </c>
    </row>
    <row r="18" spans="2:4" x14ac:dyDescent="0.25">
      <c r="B18">
        <v>1400</v>
      </c>
      <c r="C18" s="9">
        <f t="shared" si="0"/>
        <v>856.01188560845731</v>
      </c>
      <c r="D18">
        <f t="shared" si="1"/>
        <v>19.100000000000001</v>
      </c>
    </row>
    <row r="19" spans="2:4" x14ac:dyDescent="0.25">
      <c r="B19">
        <v>1500</v>
      </c>
      <c r="C19" s="9">
        <f t="shared" si="0"/>
        <v>845.58554902041487</v>
      </c>
      <c r="D19">
        <f t="shared" si="1"/>
        <v>18.45</v>
      </c>
    </row>
    <row r="20" spans="2:4" x14ac:dyDescent="0.25">
      <c r="B20">
        <v>1600</v>
      </c>
      <c r="C20" s="9">
        <f t="shared" si="0"/>
        <v>835.26227940898934</v>
      </c>
      <c r="D20">
        <f t="shared" si="1"/>
        <v>17.799999999999997</v>
      </c>
    </row>
    <row r="21" spans="2:4" x14ac:dyDescent="0.25">
      <c r="B21">
        <v>1700</v>
      </c>
      <c r="C21" s="9">
        <f t="shared" si="0"/>
        <v>825.04129555999839</v>
      </c>
      <c r="D21">
        <f t="shared" si="1"/>
        <v>17.149999999999999</v>
      </c>
    </row>
    <row r="22" spans="2:4" x14ac:dyDescent="0.25">
      <c r="B22">
        <v>1800</v>
      </c>
      <c r="C22" s="9">
        <f t="shared" si="0"/>
        <v>814.92182037104135</v>
      </c>
      <c r="D22">
        <f t="shared" si="1"/>
        <v>16.5</v>
      </c>
    </row>
    <row r="23" spans="2:4" x14ac:dyDescent="0.25">
      <c r="B23">
        <v>1900</v>
      </c>
      <c r="C23" s="9">
        <f t="shared" si="0"/>
        <v>804.90308083942534</v>
      </c>
      <c r="D23">
        <f t="shared" si="1"/>
        <v>15.85</v>
      </c>
    </row>
    <row r="24" spans="2:4" x14ac:dyDescent="0.25">
      <c r="B24">
        <v>2000</v>
      </c>
      <c r="C24" s="9">
        <f t="shared" si="0"/>
        <v>794.98430805010037</v>
      </c>
      <c r="D24">
        <f t="shared" si="1"/>
        <v>15.2</v>
      </c>
    </row>
    <row r="25" spans="2:4" x14ac:dyDescent="0.25">
      <c r="B25">
        <v>2100</v>
      </c>
      <c r="C25" s="9">
        <f t="shared" si="0"/>
        <v>785.16473716360224</v>
      </c>
      <c r="D25">
        <f t="shared" si="1"/>
        <v>14.55</v>
      </c>
    </row>
    <row r="26" spans="2:4" x14ac:dyDescent="0.25">
      <c r="B26">
        <v>2200</v>
      </c>
      <c r="C26" s="9">
        <f t="shared" si="0"/>
        <v>775.44360740399907</v>
      </c>
      <c r="D26">
        <f t="shared" si="1"/>
        <v>13.9</v>
      </c>
    </row>
    <row r="27" spans="2:4" x14ac:dyDescent="0.25">
      <c r="B27">
        <v>2300</v>
      </c>
      <c r="C27" s="9">
        <f t="shared" si="0"/>
        <v>765.82016204684942</v>
      </c>
      <c r="D27">
        <f t="shared" si="1"/>
        <v>13.25</v>
      </c>
    </row>
    <row r="28" spans="2:4" x14ac:dyDescent="0.25">
      <c r="B28">
        <v>2400</v>
      </c>
      <c r="C28" s="9">
        <f t="shared" si="0"/>
        <v>756.29364840716585</v>
      </c>
      <c r="D28">
        <f t="shared" si="1"/>
        <v>12.6</v>
      </c>
    </row>
    <row r="29" spans="2:4" x14ac:dyDescent="0.25">
      <c r="B29">
        <v>2500</v>
      </c>
      <c r="C29" s="9">
        <f t="shared" si="0"/>
        <v>746.86331782738466</v>
      </c>
      <c r="D29">
        <f t="shared" si="1"/>
        <v>11.95</v>
      </c>
    </row>
    <row r="30" spans="2:4" x14ac:dyDescent="0.25">
      <c r="B30">
        <v>2600</v>
      </c>
      <c r="C30" s="9">
        <f t="shared" si="0"/>
        <v>737.52842566534525</v>
      </c>
      <c r="D30">
        <f t="shared" si="1"/>
        <v>11.3</v>
      </c>
    </row>
    <row r="31" spans="2:4" x14ac:dyDescent="0.25">
      <c r="B31">
        <v>2700</v>
      </c>
      <c r="C31" s="9">
        <f t="shared" si="0"/>
        <v>728.28823128227475</v>
      </c>
      <c r="D31">
        <f t="shared" si="1"/>
        <v>10.649999999999999</v>
      </c>
    </row>
    <row r="32" spans="2:4" x14ac:dyDescent="0.25">
      <c r="B32">
        <v>2800</v>
      </c>
      <c r="C32" s="9">
        <f t="shared" si="0"/>
        <v>719.14199803078043</v>
      </c>
      <c r="D32">
        <f t="shared" si="1"/>
        <v>10</v>
      </c>
    </row>
    <row r="33" spans="2:4" x14ac:dyDescent="0.25">
      <c r="B33">
        <v>2900</v>
      </c>
      <c r="C33" s="9">
        <f t="shared" si="0"/>
        <v>710.08899324285233</v>
      </c>
      <c r="D33">
        <f t="shared" si="1"/>
        <v>9.3500000000000014</v>
      </c>
    </row>
    <row r="34" spans="2:4" x14ac:dyDescent="0.25">
      <c r="B34">
        <v>3000</v>
      </c>
      <c r="C34" s="9">
        <f t="shared" si="0"/>
        <v>701.1284882178669</v>
      </c>
      <c r="D34">
        <f t="shared" si="1"/>
        <v>8.6999999999999993</v>
      </c>
    </row>
    <row r="35" spans="2:4" x14ac:dyDescent="0.25">
      <c r="B35">
        <v>3100</v>
      </c>
      <c r="C35" s="9">
        <f t="shared" si="0"/>
        <v>692.25975821060422</v>
      </c>
      <c r="D35">
        <f t="shared" si="1"/>
        <v>8.0500000000000007</v>
      </c>
    </row>
    <row r="36" spans="2:4" x14ac:dyDescent="0.25">
      <c r="B36">
        <v>3200</v>
      </c>
      <c r="C36" s="9">
        <f t="shared" si="0"/>
        <v>683.48208241927023</v>
      </c>
      <c r="D36">
        <f t="shared" si="1"/>
        <v>7.3999999999999986</v>
      </c>
    </row>
    <row r="37" spans="2:4" x14ac:dyDescent="0.25">
      <c r="B37">
        <v>3300</v>
      </c>
      <c r="C37" s="9">
        <f t="shared" si="0"/>
        <v>674.7947439735251</v>
      </c>
      <c r="D37">
        <f t="shared" si="1"/>
        <v>6.75</v>
      </c>
    </row>
    <row r="38" spans="2:4" x14ac:dyDescent="0.25">
      <c r="B38">
        <v>3400</v>
      </c>
      <c r="C38" s="9">
        <f t="shared" si="0"/>
        <v>666.1970299225211</v>
      </c>
      <c r="D38">
        <f t="shared" si="1"/>
        <v>6.1000000000000014</v>
      </c>
    </row>
    <row r="39" spans="2:4" x14ac:dyDescent="0.25">
      <c r="B39">
        <v>3500</v>
      </c>
      <c r="C39" s="9">
        <f t="shared" si="0"/>
        <v>657.68823122294702</v>
      </c>
      <c r="D39">
        <f t="shared" si="1"/>
        <v>5.4499999999999993</v>
      </c>
    </row>
    <row r="40" spans="2:4" x14ac:dyDescent="0.25">
      <c r="B40">
        <v>3600</v>
      </c>
      <c r="C40" s="9">
        <f t="shared" si="0"/>
        <v>649.26764272707942</v>
      </c>
      <c r="D40">
        <f t="shared" si="1"/>
        <v>4.8000000000000007</v>
      </c>
    </row>
    <row r="41" spans="2:4" x14ac:dyDescent="0.25">
      <c r="B41">
        <v>3700</v>
      </c>
      <c r="C41" s="9">
        <f t="shared" si="0"/>
        <v>640.93456317084167</v>
      </c>
      <c r="D41">
        <f t="shared" si="1"/>
        <v>4.1500000000000021</v>
      </c>
    </row>
    <row r="42" spans="2:4" x14ac:dyDescent="0.25">
      <c r="B42">
        <v>3800</v>
      </c>
      <c r="C42" s="9">
        <f t="shared" si="0"/>
        <v>632.68829516187293</v>
      </c>
      <c r="D42">
        <f t="shared" si="1"/>
        <v>3.5</v>
      </c>
    </row>
    <row r="43" spans="2:4" x14ac:dyDescent="0.25">
      <c r="B43">
        <v>3900</v>
      </c>
      <c r="C43" s="9">
        <f t="shared" si="0"/>
        <v>624.52814516759872</v>
      </c>
      <c r="D43">
        <f t="shared" si="1"/>
        <v>2.8500000000000014</v>
      </c>
    </row>
    <row r="44" spans="2:4" x14ac:dyDescent="0.25">
      <c r="B44">
        <v>4000</v>
      </c>
      <c r="C44" s="9">
        <f t="shared" si="0"/>
        <v>616.45342350331555</v>
      </c>
      <c r="D44">
        <f t="shared" si="1"/>
        <v>2.1999999999999993</v>
      </c>
    </row>
    <row r="45" spans="2:4" x14ac:dyDescent="0.25">
      <c r="B45">
        <v>4100</v>
      </c>
      <c r="C45" s="9">
        <f t="shared" si="0"/>
        <v>608.46344432027843</v>
      </c>
      <c r="D45">
        <f t="shared" si="1"/>
        <v>1.5500000000000007</v>
      </c>
    </row>
    <row r="46" spans="2:4" x14ac:dyDescent="0.25">
      <c r="B46">
        <v>4200</v>
      </c>
      <c r="C46" s="9">
        <f t="shared" si="0"/>
        <v>600.55752559379835</v>
      </c>
      <c r="D46">
        <f t="shared" si="1"/>
        <v>0.90000000000000213</v>
      </c>
    </row>
    <row r="47" spans="2:4" x14ac:dyDescent="0.25">
      <c r="B47">
        <v>4300</v>
      </c>
      <c r="C47" s="9">
        <f t="shared" si="0"/>
        <v>592.73498911134629</v>
      </c>
      <c r="D47">
        <f t="shared" si="1"/>
        <v>0.25</v>
      </c>
    </row>
    <row r="48" spans="2:4" x14ac:dyDescent="0.25">
      <c r="B48">
        <v>4400</v>
      </c>
      <c r="C48" s="9">
        <f t="shared" si="0"/>
        <v>584.99516046066447</v>
      </c>
      <c r="D48">
        <f t="shared" si="1"/>
        <v>-0.39999999999999858</v>
      </c>
    </row>
    <row r="49" spans="2:4" x14ac:dyDescent="0.25">
      <c r="B49">
        <v>4500</v>
      </c>
      <c r="C49" s="9">
        <f t="shared" si="0"/>
        <v>577.337369017887</v>
      </c>
      <c r="D49">
        <f t="shared" si="1"/>
        <v>-1.0500000000000007</v>
      </c>
    </row>
    <row r="50" spans="2:4" x14ac:dyDescent="0.25">
      <c r="B50">
        <v>4600</v>
      </c>
      <c r="C50" s="9">
        <f t="shared" si="0"/>
        <v>569.76094793566494</v>
      </c>
      <c r="D50">
        <f t="shared" si="1"/>
        <v>-1.6999999999999993</v>
      </c>
    </row>
    <row r="51" spans="2:4" x14ac:dyDescent="0.25">
      <c r="B51">
        <v>4700</v>
      </c>
      <c r="C51" s="9">
        <f t="shared" si="0"/>
        <v>562.26523413130178</v>
      </c>
      <c r="D51">
        <f t="shared" si="1"/>
        <v>-2.3499999999999979</v>
      </c>
    </row>
    <row r="52" spans="2:4" x14ac:dyDescent="0.25">
      <c r="B52">
        <v>4800</v>
      </c>
      <c r="C52" s="9">
        <f t="shared" si="0"/>
        <v>554.84956827489532</v>
      </c>
      <c r="D52">
        <f t="shared" si="1"/>
        <v>-3</v>
      </c>
    </row>
    <row r="53" spans="2:4" x14ac:dyDescent="0.25">
      <c r="B53">
        <v>4900</v>
      </c>
      <c r="C53" s="9">
        <f t="shared" si="0"/>
        <v>547.5132947774872</v>
      </c>
      <c r="D53">
        <f t="shared" si="1"/>
        <v>-3.6499999999999986</v>
      </c>
    </row>
    <row r="54" spans="2:4" x14ac:dyDescent="0.25">
      <c r="B54">
        <v>5000</v>
      </c>
      <c r="C54" s="9">
        <f t="shared" si="0"/>
        <v>540.25576177922039</v>
      </c>
      <c r="D54">
        <f t="shared" si="1"/>
        <v>-4.3000000000000007</v>
      </c>
    </row>
    <row r="55" spans="2:4" x14ac:dyDescent="0.25">
      <c r="B55">
        <v>5100</v>
      </c>
      <c r="C55" s="9">
        <f t="shared" si="0"/>
        <v>533.07632113750367</v>
      </c>
      <c r="D55">
        <f t="shared" si="1"/>
        <v>-4.9499999999999993</v>
      </c>
    </row>
    <row r="56" spans="2:4" x14ac:dyDescent="0.25">
      <c r="B56">
        <v>5200</v>
      </c>
      <c r="C56" s="9">
        <f t="shared" si="0"/>
        <v>525.97432841518446</v>
      </c>
      <c r="D56">
        <f t="shared" si="1"/>
        <v>-5.5999999999999979</v>
      </c>
    </row>
    <row r="57" spans="2:4" x14ac:dyDescent="0.25">
      <c r="B57">
        <v>5300</v>
      </c>
      <c r="C57" s="9">
        <f t="shared" si="0"/>
        <v>518.94914286872893</v>
      </c>
      <c r="D57">
        <f t="shared" si="1"/>
        <v>-6.2499999999999964</v>
      </c>
    </row>
    <row r="58" spans="2:4" x14ac:dyDescent="0.25">
      <c r="B58">
        <v>5400</v>
      </c>
      <c r="C58" s="9">
        <f t="shared" si="0"/>
        <v>512.00012743641037</v>
      </c>
      <c r="D58">
        <f t="shared" si="1"/>
        <v>-6.9000000000000021</v>
      </c>
    </row>
    <row r="59" spans="2:4" x14ac:dyDescent="0.25">
      <c r="B59">
        <v>5500</v>
      </c>
      <c r="C59" s="9">
        <f t="shared" si="0"/>
        <v>505.1266487265039</v>
      </c>
      <c r="D59">
        <f t="shared" si="1"/>
        <v>-7.5500000000000007</v>
      </c>
    </row>
    <row r="60" spans="2:4" x14ac:dyDescent="0.25">
      <c r="B60">
        <v>5600</v>
      </c>
      <c r="C60" s="9">
        <f t="shared" si="0"/>
        <v>498.32807700549012</v>
      </c>
      <c r="D60">
        <f t="shared" si="1"/>
        <v>-8.1999999999999993</v>
      </c>
    </row>
    <row r="61" spans="2:4" x14ac:dyDescent="0.25">
      <c r="B61">
        <v>5700</v>
      </c>
      <c r="C61" s="9">
        <f t="shared" si="0"/>
        <v>491.60378618626652</v>
      </c>
      <c r="D61">
        <f t="shared" si="1"/>
        <v>-8.8499999999999979</v>
      </c>
    </row>
    <row r="62" spans="2:4" x14ac:dyDescent="0.25">
      <c r="B62">
        <v>5800</v>
      </c>
      <c r="C62" s="9">
        <f t="shared" si="0"/>
        <v>484.95315381636556</v>
      </c>
      <c r="D62">
        <f t="shared" si="1"/>
        <v>-9.4999999999999964</v>
      </c>
    </row>
    <row r="63" spans="2:4" x14ac:dyDescent="0.25">
      <c r="B63">
        <v>5900</v>
      </c>
      <c r="C63" s="9">
        <f t="shared" si="0"/>
        <v>478.37556106618172</v>
      </c>
      <c r="D63">
        <f t="shared" si="1"/>
        <v>-10.150000000000002</v>
      </c>
    </row>
    <row r="64" spans="2:4" x14ac:dyDescent="0.25">
      <c r="B64">
        <v>6000</v>
      </c>
      <c r="C64" s="9">
        <f t="shared" si="0"/>
        <v>471.87039271720613</v>
      </c>
      <c r="D64">
        <f t="shared" si="1"/>
        <v>-10.8</v>
      </c>
    </row>
    <row r="65" spans="2:4" x14ac:dyDescent="0.25">
      <c r="B65">
        <v>6100</v>
      </c>
      <c r="C65" s="9">
        <f t="shared" si="0"/>
        <v>465.43703715026749</v>
      </c>
      <c r="D65">
        <f t="shared" si="1"/>
        <v>-11.45</v>
      </c>
    </row>
    <row r="66" spans="2:4" x14ac:dyDescent="0.25">
      <c r="B66">
        <v>6200</v>
      </c>
      <c r="C66" s="9">
        <f t="shared" si="0"/>
        <v>459.07488633378256</v>
      </c>
      <c r="D66">
        <f t="shared" si="1"/>
        <v>-12.099999999999998</v>
      </c>
    </row>
    <row r="67" spans="2:4" x14ac:dyDescent="0.25">
      <c r="B67">
        <v>6300</v>
      </c>
      <c r="C67" s="9">
        <f t="shared" si="0"/>
        <v>452.78333581201429</v>
      </c>
      <c r="D67">
        <f t="shared" si="1"/>
        <v>-12.749999999999996</v>
      </c>
    </row>
    <row r="68" spans="2:4" x14ac:dyDescent="0.25">
      <c r="B68">
        <v>6400</v>
      </c>
      <c r="C68" s="9">
        <f t="shared" si="0"/>
        <v>446.56178469333639</v>
      </c>
      <c r="D68">
        <f t="shared" si="1"/>
        <v>-13.400000000000002</v>
      </c>
    </row>
    <row r="69" spans="2:4" x14ac:dyDescent="0.25">
      <c r="B69">
        <v>6500</v>
      </c>
      <c r="C69" s="9">
        <f t="shared" si="0"/>
        <v>440.4096356385075</v>
      </c>
      <c r="D69">
        <f t="shared" si="1"/>
        <v>-14.05</v>
      </c>
    </row>
    <row r="70" spans="2:4" x14ac:dyDescent="0.25">
      <c r="B70">
        <v>6600</v>
      </c>
      <c r="C70" s="9">
        <f t="shared" ref="C70:C114" si="2">1013.25*(1-(0.0065*B70/288.15))^5.255</f>
        <v>434.32629484895199</v>
      </c>
      <c r="D70">
        <f t="shared" si="1"/>
        <v>-14.7</v>
      </c>
    </row>
    <row r="71" spans="2:4" x14ac:dyDescent="0.25">
      <c r="B71">
        <v>6700</v>
      </c>
      <c r="C71" s="9">
        <f t="shared" si="2"/>
        <v>428.31117205504921</v>
      </c>
      <c r="D71">
        <f t="shared" ref="D71:D114" si="3">D$4-(6.5/1000)*B71</f>
        <v>-15.349999999999998</v>
      </c>
    </row>
    <row r="72" spans="2:4" x14ac:dyDescent="0.25">
      <c r="B72">
        <v>6800</v>
      </c>
      <c r="C72" s="9">
        <f t="shared" si="2"/>
        <v>422.36368050443031</v>
      </c>
      <c r="D72">
        <f t="shared" si="3"/>
        <v>-15.999999999999996</v>
      </c>
    </row>
    <row r="73" spans="2:4" x14ac:dyDescent="0.25">
      <c r="B73">
        <v>6900</v>
      </c>
      <c r="C73" s="9">
        <f t="shared" si="2"/>
        <v>416.4832369502829</v>
      </c>
      <c r="D73">
        <f t="shared" si="3"/>
        <v>-16.650000000000002</v>
      </c>
    </row>
    <row r="74" spans="2:4" x14ac:dyDescent="0.25">
      <c r="B74">
        <v>7000</v>
      </c>
      <c r="C74" s="9">
        <f t="shared" si="2"/>
        <v>410.66926163966519</v>
      </c>
      <c r="D74">
        <f t="shared" si="3"/>
        <v>-17.3</v>
      </c>
    </row>
    <row r="75" spans="2:4" x14ac:dyDescent="0.25">
      <c r="B75">
        <v>7100</v>
      </c>
      <c r="C75" s="9">
        <f t="shared" si="2"/>
        <v>404.92117830182474</v>
      </c>
      <c r="D75">
        <f t="shared" si="3"/>
        <v>-17.95</v>
      </c>
    </row>
    <row r="76" spans="2:4" x14ac:dyDescent="0.25">
      <c r="B76">
        <v>7200</v>
      </c>
      <c r="C76" s="9">
        <f t="shared" si="2"/>
        <v>399.23841413652855</v>
      </c>
      <c r="D76">
        <f t="shared" si="3"/>
        <v>-18.599999999999998</v>
      </c>
    </row>
    <row r="77" spans="2:4" x14ac:dyDescent="0.25">
      <c r="B77">
        <v>7300</v>
      </c>
      <c r="C77" s="9">
        <f t="shared" si="2"/>
        <v>393.62039980239905</v>
      </c>
      <c r="D77">
        <f t="shared" si="3"/>
        <v>-19.249999999999996</v>
      </c>
    </row>
    <row r="78" spans="2:4" x14ac:dyDescent="0.25">
      <c r="B78">
        <v>7400</v>
      </c>
      <c r="C78" s="9">
        <f t="shared" si="2"/>
        <v>388.06656940525954</v>
      </c>
      <c r="D78">
        <f t="shared" si="3"/>
        <v>-19.899999999999995</v>
      </c>
    </row>
    <row r="79" spans="2:4" x14ac:dyDescent="0.25">
      <c r="B79">
        <v>7500</v>
      </c>
      <c r="C79" s="9">
        <f t="shared" si="2"/>
        <v>382.57636048648567</v>
      </c>
      <c r="D79">
        <f t="shared" si="3"/>
        <v>-20.55</v>
      </c>
    </row>
    <row r="80" spans="2:4" x14ac:dyDescent="0.25">
      <c r="B80">
        <v>7600</v>
      </c>
      <c r="C80" s="9">
        <f t="shared" si="2"/>
        <v>377.14921401136769</v>
      </c>
      <c r="D80">
        <f t="shared" si="3"/>
        <v>-21.2</v>
      </c>
    </row>
    <row r="81" spans="2:4" x14ac:dyDescent="0.25">
      <c r="B81">
        <v>7700</v>
      </c>
      <c r="C81" s="9">
        <f t="shared" si="2"/>
        <v>371.7845743574776</v>
      </c>
      <c r="D81">
        <f t="shared" si="3"/>
        <v>-21.849999999999998</v>
      </c>
    </row>
    <row r="82" spans="2:4" x14ac:dyDescent="0.25">
      <c r="B82">
        <v>7800</v>
      </c>
      <c r="C82" s="9">
        <f t="shared" si="2"/>
        <v>366.48188930304656</v>
      </c>
      <c r="D82">
        <f t="shared" si="3"/>
        <v>-22.499999999999996</v>
      </c>
    </row>
    <row r="83" spans="2:4" x14ac:dyDescent="0.25">
      <c r="B83">
        <v>7900</v>
      </c>
      <c r="C83" s="9">
        <f t="shared" si="2"/>
        <v>361.24061001535011</v>
      </c>
      <c r="D83">
        <f t="shared" si="3"/>
        <v>-23.149999999999995</v>
      </c>
    </row>
    <row r="84" spans="2:4" x14ac:dyDescent="0.25">
      <c r="B84">
        <v>8000</v>
      </c>
      <c r="C84" s="9">
        <f t="shared" si="2"/>
        <v>356.0601910391004</v>
      </c>
      <c r="D84">
        <f t="shared" si="3"/>
        <v>-23.8</v>
      </c>
    </row>
    <row r="85" spans="2:4" x14ac:dyDescent="0.25">
      <c r="B85">
        <v>8100</v>
      </c>
      <c r="C85" s="9">
        <f t="shared" si="2"/>
        <v>350.94009028484771</v>
      </c>
      <c r="D85">
        <f t="shared" si="3"/>
        <v>-24.45</v>
      </c>
    </row>
    <row r="86" spans="2:4" x14ac:dyDescent="0.25">
      <c r="B86">
        <v>8200</v>
      </c>
      <c r="C86" s="9">
        <f t="shared" si="2"/>
        <v>345.87976901738926</v>
      </c>
      <c r="D86">
        <f t="shared" si="3"/>
        <v>-25.099999999999998</v>
      </c>
    </row>
    <row r="87" spans="2:4" x14ac:dyDescent="0.25">
      <c r="B87">
        <v>8300</v>
      </c>
      <c r="C87" s="9">
        <f t="shared" si="2"/>
        <v>340.87869184418651</v>
      </c>
      <c r="D87">
        <f t="shared" si="3"/>
        <v>-25.749999999999996</v>
      </c>
    </row>
    <row r="88" spans="2:4" x14ac:dyDescent="0.25">
      <c r="B88">
        <v>8400</v>
      </c>
      <c r="C88" s="9">
        <f t="shared" si="2"/>
        <v>335.936326703791</v>
      </c>
      <c r="D88">
        <f t="shared" si="3"/>
        <v>-26.399999999999995</v>
      </c>
    </row>
    <row r="89" spans="2:4" x14ac:dyDescent="0.25">
      <c r="B89">
        <v>8500</v>
      </c>
      <c r="C89" s="9">
        <f t="shared" si="2"/>
        <v>331.05214485427672</v>
      </c>
      <c r="D89">
        <f t="shared" si="3"/>
        <v>-27.05</v>
      </c>
    </row>
    <row r="90" spans="2:4" x14ac:dyDescent="0.25">
      <c r="B90">
        <v>8600</v>
      </c>
      <c r="C90" s="9">
        <f t="shared" si="2"/>
        <v>326.22562086168398</v>
      </c>
      <c r="D90">
        <f t="shared" si="3"/>
        <v>-27.7</v>
      </c>
    </row>
    <row r="91" spans="2:4" x14ac:dyDescent="0.25">
      <c r="B91">
        <v>8700</v>
      </c>
      <c r="C91" s="9">
        <f t="shared" si="2"/>
        <v>321.45623258846706</v>
      </c>
      <c r="D91">
        <f t="shared" si="3"/>
        <v>-28.349999999999998</v>
      </c>
    </row>
    <row r="92" spans="2:4" x14ac:dyDescent="0.25">
      <c r="B92">
        <v>8800</v>
      </c>
      <c r="C92" s="9">
        <f t="shared" si="2"/>
        <v>316.74346118195399</v>
      </c>
      <c r="D92">
        <f t="shared" si="3"/>
        <v>-28.999999999999996</v>
      </c>
    </row>
    <row r="93" spans="2:4" x14ac:dyDescent="0.25">
      <c r="B93">
        <v>8900</v>
      </c>
      <c r="C93" s="9">
        <f t="shared" si="2"/>
        <v>312.08679106281193</v>
      </c>
      <c r="D93">
        <f t="shared" si="3"/>
        <v>-29.649999999999995</v>
      </c>
    </row>
    <row r="94" spans="2:4" x14ac:dyDescent="0.25">
      <c r="B94">
        <v>9000</v>
      </c>
      <c r="C94" s="9">
        <f t="shared" si="2"/>
        <v>307.48570991352238</v>
      </c>
      <c r="D94">
        <f t="shared" si="3"/>
        <v>-30.3</v>
      </c>
    </row>
    <row r="95" spans="2:4" x14ac:dyDescent="0.25">
      <c r="B95">
        <v>9100</v>
      </c>
      <c r="C95" s="9">
        <f t="shared" si="2"/>
        <v>302.93970866686465</v>
      </c>
      <c r="D95">
        <f t="shared" si="3"/>
        <v>-30.95</v>
      </c>
    </row>
    <row r="96" spans="2:4" x14ac:dyDescent="0.25">
      <c r="B96">
        <v>9200</v>
      </c>
      <c r="C96" s="9">
        <f t="shared" si="2"/>
        <v>298.44828149440576</v>
      </c>
      <c r="D96">
        <f t="shared" si="3"/>
        <v>-31.599999999999998</v>
      </c>
    </row>
    <row r="97" spans="2:4" x14ac:dyDescent="0.25">
      <c r="B97">
        <v>9300</v>
      </c>
      <c r="C97" s="9">
        <f t="shared" si="2"/>
        <v>294.01092579500073</v>
      </c>
      <c r="D97">
        <f t="shared" si="3"/>
        <v>-32.25</v>
      </c>
    </row>
    <row r="98" spans="2:4" x14ac:dyDescent="0.25">
      <c r="B98">
        <v>9400</v>
      </c>
      <c r="C98" s="9">
        <f t="shared" si="2"/>
        <v>289.62714218330063</v>
      </c>
      <c r="D98">
        <f t="shared" si="3"/>
        <v>-32.899999999999991</v>
      </c>
    </row>
    <row r="99" spans="2:4" x14ac:dyDescent="0.25">
      <c r="B99">
        <v>9500</v>
      </c>
      <c r="C99" s="9">
        <f t="shared" si="2"/>
        <v>285.29643447826817</v>
      </c>
      <c r="D99">
        <f t="shared" si="3"/>
        <v>-33.549999999999997</v>
      </c>
    </row>
    <row r="100" spans="2:4" x14ac:dyDescent="0.25">
      <c r="B100">
        <v>9600</v>
      </c>
      <c r="C100" s="9">
        <f t="shared" si="2"/>
        <v>281.0183096917026</v>
      </c>
      <c r="D100">
        <f t="shared" si="3"/>
        <v>-34.200000000000003</v>
      </c>
    </row>
    <row r="101" spans="2:4" x14ac:dyDescent="0.25">
      <c r="B101">
        <v>9700</v>
      </c>
      <c r="C101" s="9">
        <f t="shared" si="2"/>
        <v>276.79227801677251</v>
      </c>
      <c r="D101">
        <f t="shared" si="3"/>
        <v>-34.849999999999994</v>
      </c>
    </row>
    <row r="102" spans="2:4" x14ac:dyDescent="0.25">
      <c r="B102">
        <v>9800</v>
      </c>
      <c r="C102" s="9">
        <f t="shared" si="2"/>
        <v>272.61785281655739</v>
      </c>
      <c r="D102">
        <f t="shared" si="3"/>
        <v>-35.5</v>
      </c>
    </row>
    <row r="103" spans="2:4" x14ac:dyDescent="0.25">
      <c r="B103">
        <v>9900</v>
      </c>
      <c r="C103" s="9">
        <f t="shared" si="2"/>
        <v>268.49455061259681</v>
      </c>
      <c r="D103">
        <f t="shared" si="3"/>
        <v>-36.149999999999991</v>
      </c>
    </row>
    <row r="104" spans="2:4" x14ac:dyDescent="0.25">
      <c r="B104">
        <v>10000</v>
      </c>
      <c r="C104" s="9">
        <f t="shared" si="2"/>
        <v>264.42189107344888</v>
      </c>
      <c r="D104">
        <f t="shared" si="3"/>
        <v>-36.799999999999997</v>
      </c>
    </row>
    <row r="105" spans="2:4" x14ac:dyDescent="0.25">
      <c r="B105">
        <v>10100</v>
      </c>
      <c r="C105" s="9">
        <f t="shared" si="2"/>
        <v>260.39939700325738</v>
      </c>
      <c r="D105">
        <f t="shared" si="3"/>
        <v>-37.449999999999989</v>
      </c>
    </row>
    <row r="106" spans="2:4" x14ac:dyDescent="0.25">
      <c r="B106">
        <v>10200</v>
      </c>
      <c r="C106" s="9">
        <f t="shared" si="2"/>
        <v>256.42659433032497</v>
      </c>
      <c r="D106">
        <f t="shared" si="3"/>
        <v>-38.099999999999994</v>
      </c>
    </row>
    <row r="107" spans="2:4" x14ac:dyDescent="0.25">
      <c r="B107">
        <v>10300</v>
      </c>
      <c r="C107" s="9">
        <f t="shared" si="2"/>
        <v>252.50301209569969</v>
      </c>
      <c r="D107">
        <f t="shared" si="3"/>
        <v>-38.75</v>
      </c>
    </row>
    <row r="108" spans="2:4" x14ac:dyDescent="0.25">
      <c r="B108">
        <v>10400</v>
      </c>
      <c r="C108" s="9">
        <f t="shared" si="2"/>
        <v>248.62818244176401</v>
      </c>
      <c r="D108">
        <f t="shared" si="3"/>
        <v>-39.399999999999991</v>
      </c>
    </row>
    <row r="109" spans="2:4" x14ac:dyDescent="0.25">
      <c r="B109">
        <v>10500</v>
      </c>
      <c r="C109" s="9">
        <f t="shared" si="2"/>
        <v>244.80164060083709</v>
      </c>
      <c r="D109">
        <f t="shared" si="3"/>
        <v>-40.049999999999997</v>
      </c>
    </row>
    <row r="110" spans="2:4" x14ac:dyDescent="0.25">
      <c r="B110">
        <v>10600</v>
      </c>
      <c r="C110" s="9">
        <f t="shared" si="2"/>
        <v>241.0229248837835</v>
      </c>
      <c r="D110">
        <f t="shared" si="3"/>
        <v>-40.699999999999989</v>
      </c>
    </row>
    <row r="111" spans="2:4" x14ac:dyDescent="0.25">
      <c r="B111">
        <v>10700</v>
      </c>
      <c r="C111" s="9">
        <f t="shared" si="2"/>
        <v>237.29157666863063</v>
      </c>
      <c r="D111">
        <f t="shared" si="3"/>
        <v>-41.349999999999994</v>
      </c>
    </row>
    <row r="112" spans="2:4" x14ac:dyDescent="0.25">
      <c r="B112">
        <v>10800</v>
      </c>
      <c r="C112" s="9">
        <f t="shared" si="2"/>
        <v>233.60714038919559</v>
      </c>
      <c r="D112">
        <f t="shared" si="3"/>
        <v>-42</v>
      </c>
    </row>
    <row r="113" spans="2:4" x14ac:dyDescent="0.25">
      <c r="B113">
        <v>10900</v>
      </c>
      <c r="C113" s="9">
        <f t="shared" si="2"/>
        <v>229.96916352371915</v>
      </c>
      <c r="D113">
        <f t="shared" si="3"/>
        <v>-42.649999999999991</v>
      </c>
    </row>
    <row r="114" spans="2:4" x14ac:dyDescent="0.25">
      <c r="B114">
        <v>11000</v>
      </c>
      <c r="C114" s="9">
        <f t="shared" si="2"/>
        <v>226.37719658350963</v>
      </c>
      <c r="D114">
        <f t="shared" si="3"/>
        <v>-43.3</v>
      </c>
    </row>
  </sheetData>
  <sheetProtection password="E3E2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2"/>
  <sheetViews>
    <sheetView zoomScaleNormal="100" workbookViewId="0">
      <selection activeCell="R25" sqref="R25"/>
    </sheetView>
  </sheetViews>
  <sheetFormatPr baseColWidth="10" defaultRowHeight="15" x14ac:dyDescent="0.25"/>
  <cols>
    <col min="30" max="30" width="12.5703125" bestFit="1" customWidth="1"/>
  </cols>
  <sheetData>
    <row r="1" spans="2:19" ht="36" x14ac:dyDescent="0.55000000000000004">
      <c r="B1" s="62" t="s">
        <v>88</v>
      </c>
      <c r="C1" s="62"/>
      <c r="D1" s="62"/>
      <c r="Q1" s="56"/>
      <c r="R1" s="56"/>
      <c r="S1" s="56"/>
    </row>
    <row r="2" spans="2:19" ht="17.25" customHeight="1" x14ac:dyDescent="0.55000000000000004">
      <c r="B2" s="62"/>
      <c r="C2" s="62"/>
      <c r="D2" s="62"/>
      <c r="Q2" s="56"/>
      <c r="R2" s="56"/>
      <c r="S2" s="56"/>
    </row>
    <row r="3" spans="2:19" ht="17.25" customHeight="1" x14ac:dyDescent="0.25">
      <c r="B3" t="s">
        <v>180</v>
      </c>
      <c r="E3" s="55">
        <f>'Eingabe Diagramme'!Z141</f>
        <v>24.5</v>
      </c>
      <c r="F3" t="s">
        <v>85</v>
      </c>
      <c r="Q3" s="56"/>
      <c r="R3" s="56"/>
      <c r="S3" s="56"/>
    </row>
    <row r="4" spans="2:19" ht="17.25" customHeight="1" x14ac:dyDescent="0.25">
      <c r="E4" s="14">
        <f>E3+273</f>
        <v>297.5</v>
      </c>
      <c r="F4" t="s">
        <v>86</v>
      </c>
      <c r="Q4" s="56"/>
      <c r="R4" s="56"/>
      <c r="S4" s="56"/>
    </row>
    <row r="5" spans="2:19" ht="17.25" customHeight="1" x14ac:dyDescent="0.25">
      <c r="H5" s="14"/>
      <c r="Q5" s="56"/>
      <c r="R5" s="56"/>
      <c r="S5" s="56"/>
    </row>
    <row r="6" spans="2:19" ht="17.25" customHeight="1" x14ac:dyDescent="0.25">
      <c r="B6" t="s">
        <v>181</v>
      </c>
      <c r="E6" s="55">
        <f>'Eingabe Diagramme'!Z143</f>
        <v>975</v>
      </c>
      <c r="F6" t="s">
        <v>112</v>
      </c>
      <c r="H6" s="14"/>
      <c r="Q6" s="56"/>
      <c r="R6" s="56"/>
      <c r="S6" s="56"/>
    </row>
    <row r="7" spans="2:19" ht="17.25" customHeight="1" x14ac:dyDescent="0.25">
      <c r="H7" s="14"/>
      <c r="Q7" s="56"/>
      <c r="R7" s="56"/>
      <c r="S7" s="56"/>
    </row>
    <row r="8" spans="2:19" ht="17.25" customHeight="1" x14ac:dyDescent="0.35">
      <c r="C8" t="s">
        <v>185</v>
      </c>
      <c r="H8" s="13">
        <v>2501000</v>
      </c>
      <c r="I8" t="s">
        <v>172</v>
      </c>
      <c r="J8" s="14"/>
      <c r="Q8" s="56"/>
      <c r="R8" s="56"/>
      <c r="S8" s="56"/>
    </row>
    <row r="9" spans="2:19" ht="18.75" x14ac:dyDescent="0.35">
      <c r="C9" s="151" t="s">
        <v>183</v>
      </c>
      <c r="H9">
        <v>461</v>
      </c>
      <c r="I9" t="s">
        <v>184</v>
      </c>
      <c r="Q9" s="56"/>
      <c r="R9" s="56"/>
      <c r="S9" s="56"/>
    </row>
    <row r="10" spans="2:19" x14ac:dyDescent="0.25">
      <c r="C10" t="s">
        <v>87</v>
      </c>
      <c r="H10">
        <v>2.7182818283999999</v>
      </c>
      <c r="Q10" s="56"/>
      <c r="R10" s="56"/>
      <c r="S10" s="56"/>
    </row>
    <row r="11" spans="2:19" x14ac:dyDescent="0.25">
      <c r="Q11" s="56"/>
      <c r="R11" s="56"/>
      <c r="S11" s="56"/>
    </row>
    <row r="12" spans="2:19" x14ac:dyDescent="0.25">
      <c r="H12">
        <f>$H$8/$H$9*(1/273.15-1/E4)</f>
        <v>1.6256369310640877</v>
      </c>
      <c r="Q12" s="56"/>
      <c r="R12" s="56"/>
      <c r="S12" s="56"/>
    </row>
    <row r="13" spans="2:19" x14ac:dyDescent="0.25">
      <c r="H13">
        <f>$H$10^H12*6.11</f>
        <v>31.048910034739478</v>
      </c>
      <c r="I13" t="s">
        <v>118</v>
      </c>
      <c r="Q13" s="56"/>
      <c r="R13" s="56"/>
      <c r="S13" s="56"/>
    </row>
    <row r="14" spans="2:19" x14ac:dyDescent="0.25">
      <c r="H14">
        <f>(0.622*H13)/(E6-H13)</f>
        <v>2.0459134214590183E-2</v>
      </c>
      <c r="Q14" s="56"/>
      <c r="R14" s="56"/>
      <c r="S14" s="56"/>
    </row>
    <row r="15" spans="2:19" x14ac:dyDescent="0.25">
      <c r="C15" t="s">
        <v>104</v>
      </c>
      <c r="H15" s="51">
        <f>H14*1000</f>
        <v>20.459134214590183</v>
      </c>
      <c r="Q15" s="56"/>
      <c r="R15" s="56"/>
      <c r="S15" s="56"/>
    </row>
    <row r="16" spans="2:19" x14ac:dyDescent="0.25">
      <c r="Q16" s="56"/>
      <c r="R16" s="56"/>
      <c r="S16" s="56"/>
    </row>
    <row r="17" spans="1:26" x14ac:dyDescent="0.25">
      <c r="C17" t="s">
        <v>90</v>
      </c>
      <c r="H17" s="112">
        <v>9.76</v>
      </c>
      <c r="I17" t="s">
        <v>91</v>
      </c>
      <c r="Q17" s="56"/>
      <c r="R17" s="56"/>
      <c r="S17" s="56"/>
    </row>
    <row r="18" spans="1:26" x14ac:dyDescent="0.25">
      <c r="Q18" s="56"/>
      <c r="R18" s="56"/>
      <c r="S18" s="56"/>
    </row>
    <row r="19" spans="1:26" ht="17.25" x14ac:dyDescent="0.25">
      <c r="C19" t="s">
        <v>186</v>
      </c>
      <c r="H19">
        <v>9.8076000000000008</v>
      </c>
      <c r="I19" t="s">
        <v>187</v>
      </c>
      <c r="Q19" s="56"/>
      <c r="R19" s="56"/>
      <c r="S19" s="56"/>
    </row>
    <row r="20" spans="1:26" x14ac:dyDescent="0.25">
      <c r="C20" t="s">
        <v>188</v>
      </c>
      <c r="H20">
        <v>1003.5</v>
      </c>
      <c r="I20" t="s">
        <v>89</v>
      </c>
      <c r="Q20" s="56"/>
      <c r="R20" s="56"/>
      <c r="S20" s="56"/>
    </row>
    <row r="21" spans="1:26" x14ac:dyDescent="0.25">
      <c r="C21" t="s">
        <v>189</v>
      </c>
      <c r="H21" s="55">
        <f>H14</f>
        <v>2.0459134214590183E-2</v>
      </c>
      <c r="I21" t="s">
        <v>190</v>
      </c>
      <c r="Q21" s="56"/>
      <c r="R21" s="56"/>
      <c r="S21" s="56"/>
    </row>
    <row r="22" spans="1:26" x14ac:dyDescent="0.25">
      <c r="C22" t="s">
        <v>191</v>
      </c>
      <c r="H22">
        <v>2501000</v>
      </c>
      <c r="I22" t="s">
        <v>83</v>
      </c>
      <c r="Q22" s="56"/>
      <c r="R22" s="56"/>
      <c r="S22" s="56"/>
    </row>
    <row r="23" spans="1:26" x14ac:dyDescent="0.25">
      <c r="C23" t="s">
        <v>192</v>
      </c>
      <c r="H23">
        <v>287</v>
      </c>
      <c r="I23" t="s">
        <v>84</v>
      </c>
      <c r="Q23" s="56"/>
      <c r="R23" s="56"/>
      <c r="S23" s="56"/>
    </row>
    <row r="24" spans="1:26" x14ac:dyDescent="0.25">
      <c r="C24" t="s">
        <v>193</v>
      </c>
      <c r="H24">
        <v>0.622</v>
      </c>
      <c r="Q24" s="56"/>
      <c r="R24" s="56"/>
      <c r="S24" s="56"/>
    </row>
    <row r="25" spans="1:26" x14ac:dyDescent="0.25">
      <c r="Q25" s="56"/>
      <c r="R25" s="56"/>
      <c r="S25" s="56"/>
    </row>
    <row r="26" spans="1:26" x14ac:dyDescent="0.25">
      <c r="C26" t="s">
        <v>194</v>
      </c>
      <c r="H26" s="82">
        <f>$H$19*((1+($H$22*H21)/($H$23*E4)))/(($H$20+($H$22^2*H21*$H$24)/($H$23*E4^2)))</f>
        <v>3.7912972123884648E-3</v>
      </c>
      <c r="I26" t="s">
        <v>119</v>
      </c>
      <c r="Q26" s="56"/>
      <c r="R26" s="56"/>
      <c r="S26" s="56"/>
    </row>
    <row r="27" spans="1:26" x14ac:dyDescent="0.25">
      <c r="H27" s="51">
        <f>H26*1000</f>
        <v>3.7912972123884647</v>
      </c>
      <c r="I27" t="s">
        <v>91</v>
      </c>
      <c r="Q27" s="56"/>
      <c r="R27" s="56"/>
      <c r="S27" s="56"/>
    </row>
    <row r="28" spans="1:26" x14ac:dyDescent="0.25">
      <c r="Q28" s="56"/>
      <c r="R28" s="56"/>
      <c r="S28" s="56"/>
    </row>
    <row r="29" spans="1:26" x14ac:dyDescent="0.25">
      <c r="Q29" s="56"/>
      <c r="R29" s="56"/>
      <c r="S29" s="56"/>
    </row>
    <row r="31" spans="1:26" ht="250.5" x14ac:dyDescent="0.5">
      <c r="B31" t="s">
        <v>1</v>
      </c>
      <c r="C31" s="54" t="s">
        <v>92</v>
      </c>
      <c r="D31" t="s">
        <v>86</v>
      </c>
      <c r="E31" t="s">
        <v>93</v>
      </c>
      <c r="F31" t="s">
        <v>94</v>
      </c>
      <c r="H31" s="54" t="s">
        <v>95</v>
      </c>
      <c r="I31" s="54" t="s">
        <v>96</v>
      </c>
      <c r="J31" s="54" t="s">
        <v>131</v>
      </c>
      <c r="K31" s="120" t="s">
        <v>97</v>
      </c>
      <c r="L31" s="54" t="s">
        <v>98</v>
      </c>
      <c r="M31" s="120" t="s">
        <v>317</v>
      </c>
      <c r="T31" s="65" t="s">
        <v>99</v>
      </c>
      <c r="U31" s="65"/>
    </row>
    <row r="32" spans="1:26" x14ac:dyDescent="0.25">
      <c r="A32">
        <v>1</v>
      </c>
      <c r="B32">
        <v>0</v>
      </c>
      <c r="C32" s="10">
        <f>E32</f>
        <v>24.5</v>
      </c>
      <c r="D32" s="10">
        <f>C32+273.15</f>
        <v>297.64999999999998</v>
      </c>
      <c r="E32" s="83">
        <f>'Eingabe Diagramme'!Z141</f>
        <v>24.5</v>
      </c>
      <c r="F32">
        <f>E32+273.15</f>
        <v>297.64999999999998</v>
      </c>
      <c r="G32" s="66">
        <f t="shared" ref="G32:G65" si="0">$H$8/$H$9*(1/273.15-1/F32)</f>
        <v>1.6348268391646077</v>
      </c>
      <c r="H32" s="10">
        <f t="shared" ref="H32:H65" si="1">$H$10^G32*6.11</f>
        <v>31.335561798843987</v>
      </c>
      <c r="I32" s="83">
        <f>'Eingabe Diagramme'!Z143</f>
        <v>975</v>
      </c>
      <c r="J32" s="105">
        <f>288.15/0.0085*(1-(I32/1013.25)^(1/5.255))</f>
        <v>247.33289114668901</v>
      </c>
      <c r="K32">
        <f>(0.622*H32)/(I32-H32)</f>
        <v>2.0654290497620961E-2</v>
      </c>
      <c r="L32" s="9">
        <f>K32*1000</f>
        <v>20.654290497620959</v>
      </c>
      <c r="M32" s="114">
        <f t="shared" ref="M32:M65" si="2">$H$17/(1+$H$22/$H$20*((K32-K33)/(F32-F33)))</f>
        <v>3.7506270562129265</v>
      </c>
      <c r="N32" s="99"/>
      <c r="O32" s="63">
        <f>$H$19*((1+($H$22*K32)/($H$23*F32)))/(($H$20+($H$22^2*K32*$H$24)/($H$23*F32^2)))</f>
        <v>3.7797293874569319E-3</v>
      </c>
      <c r="P32" s="113">
        <f>O32*1000</f>
        <v>3.779729387456932</v>
      </c>
      <c r="Q32" s="63">
        <f>$H$19*(($H$23*F32^2+$H$22*K32*F32)/(H$20*$H$23*F32^2+$H$22^2*K32*$H$24))</f>
        <v>3.7797293874569315E-3</v>
      </c>
      <c r="R32" s="67">
        <f>Q32*1000</f>
        <v>3.7797293874569315</v>
      </c>
      <c r="S32" s="63"/>
      <c r="T32" s="121">
        <f t="shared" ref="T32:T65" si="3">E32</f>
        <v>24.5</v>
      </c>
      <c r="U32" s="121"/>
      <c r="V32" s="121">
        <f t="shared" ref="V32:V65" si="4">I32</f>
        <v>975</v>
      </c>
      <c r="W32" s="10"/>
      <c r="X32" s="66">
        <f>M32/R32</f>
        <v>0.99230041935261781</v>
      </c>
      <c r="Y32" s="9"/>
      <c r="Z32" s="9"/>
    </row>
    <row r="33" spans="1:26" x14ac:dyDescent="0.25">
      <c r="A33">
        <v>2</v>
      </c>
      <c r="B33">
        <v>500</v>
      </c>
      <c r="C33" s="10">
        <f>$E$32-(6.5/1000)*B33</f>
        <v>21.25</v>
      </c>
      <c r="D33" s="10">
        <f>C33+273.15</f>
        <v>294.39999999999998</v>
      </c>
      <c r="E33" s="9">
        <f>E32-P32/2</f>
        <v>22.610135306271534</v>
      </c>
      <c r="F33" s="9">
        <f>E33+273.15</f>
        <v>295.76013530627154</v>
      </c>
      <c r="G33" s="66">
        <f t="shared" si="0"/>
        <v>1.5183611623453377</v>
      </c>
      <c r="H33" s="10">
        <f t="shared" si="1"/>
        <v>27.890550382687319</v>
      </c>
      <c r="I33" s="10">
        <f>$I$32*EXP(-((B33-$B$32)*9.81)/(287*((SUM(C$32:C33)/A33+273.15))))</f>
        <v>920.30382448587989</v>
      </c>
      <c r="J33" s="105">
        <f t="shared" ref="J33:J65" si="5">288.15/0.0085*(1-(I33/1013.25)^(1/5.255))</f>
        <v>615.03151862327672</v>
      </c>
      <c r="K33">
        <f>(0.622*H33)/(I33-H33)</f>
        <v>1.9439336954579542E-2</v>
      </c>
      <c r="L33" s="9">
        <f>K33*1000</f>
        <v>19.439336954579542</v>
      </c>
      <c r="M33" s="114">
        <f t="shared" si="2"/>
        <v>3.8286428623487012</v>
      </c>
      <c r="N33" s="99"/>
      <c r="O33" s="63">
        <f>$H$19*((1+($H$22*K33)/($H$23*F33)))/(($H$20+($H$22^2*K33*$H$24)/($H$23*F33^2)))</f>
        <v>3.8408167646301851E-3</v>
      </c>
      <c r="P33" s="113">
        <f>O33*1000</f>
        <v>3.8408167646301852</v>
      </c>
      <c r="Q33" s="63">
        <f t="shared" ref="Q33:Q65" si="6">$H$19*(($H$23*F33^2+$H$22*K33*F33)/(H$20*$H$23*F33^2+$H$22^2*K33*$H$24))</f>
        <v>3.8408167646301851E-3</v>
      </c>
      <c r="R33" s="67">
        <f t="shared" ref="R33:R65" si="7">Q33*1000</f>
        <v>3.8408167646301852</v>
      </c>
      <c r="S33" s="63"/>
      <c r="T33" s="121">
        <f t="shared" si="3"/>
        <v>22.610135306271534</v>
      </c>
      <c r="U33" s="121"/>
      <c r="V33" s="121">
        <f t="shared" si="4"/>
        <v>920.30382448587989</v>
      </c>
      <c r="W33" s="10"/>
      <c r="X33" s="66">
        <f t="shared" ref="X33:X65" si="8">M33/R33</f>
        <v>0.99683038712140803</v>
      </c>
      <c r="Y33" s="9"/>
      <c r="Z33" s="9"/>
    </row>
    <row r="34" spans="1:26" x14ac:dyDescent="0.25">
      <c r="A34">
        <v>3</v>
      </c>
      <c r="B34">
        <v>1000</v>
      </c>
      <c r="C34" s="10">
        <f>$E$32-(6.5/1000)*B34</f>
        <v>18</v>
      </c>
      <c r="D34" s="10">
        <f t="shared" ref="D34:D65" si="9">C34+273.15</f>
        <v>291.14999999999998</v>
      </c>
      <c r="E34" s="9">
        <f>E33-P33/2</f>
        <v>20.689726923956442</v>
      </c>
      <c r="F34" s="9">
        <f>E34+273.15</f>
        <v>293.83972692395639</v>
      </c>
      <c r="G34" s="66">
        <f t="shared" si="0"/>
        <v>1.3984785463372049</v>
      </c>
      <c r="H34" s="10">
        <f t="shared" si="1"/>
        <v>24.739602988678509</v>
      </c>
      <c r="I34" s="10">
        <f>$I$32*EXP(-((B34-$B$32)*9.81)/(287*((SUM(C$32:C34)/A34+273.15))))</f>
        <v>868.12256057171271</v>
      </c>
      <c r="J34" s="105">
        <f t="shared" si="5"/>
        <v>982.70513151114505</v>
      </c>
      <c r="K34">
        <f>(0.622*H34)/(I34-H34)</f>
        <v>1.8245605890658542E-2</v>
      </c>
      <c r="L34" s="9">
        <f>K34*1000</f>
        <v>18.245605890658542</v>
      </c>
      <c r="M34" s="114">
        <f t="shared" si="2"/>
        <v>3.9115962095570311</v>
      </c>
      <c r="N34" s="9"/>
      <c r="O34" s="63">
        <f t="shared" ref="O34:O65" si="10">$H$19*((1+($H$22*K34)/($H$23*F34)))/(($H$20+($H$22^2*K34*$H$24)/($H$23*F34^2)))</f>
        <v>3.9074174518855635E-3</v>
      </c>
      <c r="P34" s="113">
        <f>O34*1000</f>
        <v>3.9074174518855633</v>
      </c>
      <c r="Q34" s="63">
        <f t="shared" si="6"/>
        <v>3.9074174518855644E-3</v>
      </c>
      <c r="R34" s="67">
        <f t="shared" si="7"/>
        <v>3.9074174518855642</v>
      </c>
      <c r="S34" s="63"/>
      <c r="T34" s="121">
        <f t="shared" si="3"/>
        <v>20.689726923956442</v>
      </c>
      <c r="U34" s="121"/>
      <c r="V34" s="121">
        <f t="shared" si="4"/>
        <v>868.12256057171271</v>
      </c>
      <c r="W34" s="10"/>
      <c r="X34" s="66">
        <f t="shared" si="8"/>
        <v>1.0010694423421409</v>
      </c>
      <c r="Y34" s="9"/>
      <c r="Z34" s="9"/>
    </row>
    <row r="35" spans="1:26" x14ac:dyDescent="0.25">
      <c r="A35">
        <v>4</v>
      </c>
      <c r="B35">
        <v>1500</v>
      </c>
      <c r="C35" s="10">
        <f t="shared" ref="C35:C65" si="11">$E$32-(6.5/1000)*B35</f>
        <v>14.75</v>
      </c>
      <c r="D35" s="10">
        <f t="shared" si="9"/>
        <v>287.89999999999998</v>
      </c>
      <c r="E35" s="9">
        <f>E34-P34/2</f>
        <v>18.73601819801366</v>
      </c>
      <c r="F35" s="9">
        <f>E35+273.15</f>
        <v>291.88601819801363</v>
      </c>
      <c r="G35" s="66">
        <f t="shared" si="0"/>
        <v>1.2748983790610493</v>
      </c>
      <c r="H35" s="10">
        <f t="shared" si="1"/>
        <v>21.863643698218894</v>
      </c>
      <c r="I35" s="10">
        <f>$I$32*EXP(-((B35-$B$32)*9.81)/(287*((SUM(C$32:C35)/A35+273.15))))</f>
        <v>818.36953633090104</v>
      </c>
      <c r="J35" s="105">
        <f t="shared" si="5"/>
        <v>1350.3310525057402</v>
      </c>
      <c r="K35">
        <f>(0.622*H35)/(I35-H35)</f>
        <v>1.7073554013948236E-2</v>
      </c>
      <c r="L35" s="9">
        <f>K35*1000</f>
        <v>17.073554013948236</v>
      </c>
      <c r="M35" s="114">
        <f t="shared" si="2"/>
        <v>4.000148804204156</v>
      </c>
      <c r="N35" s="9"/>
      <c r="O35" s="63">
        <f t="shared" si="10"/>
        <v>3.9801796801090649E-3</v>
      </c>
      <c r="P35" s="113">
        <f>O35*1000</f>
        <v>3.9801796801090648</v>
      </c>
      <c r="Q35" s="63">
        <f t="shared" si="6"/>
        <v>3.9801796801090649E-3</v>
      </c>
      <c r="R35" s="67">
        <f t="shared" si="7"/>
        <v>3.9801796801090648</v>
      </c>
      <c r="S35" s="63"/>
      <c r="T35" s="121">
        <f t="shared" si="3"/>
        <v>18.73601819801366</v>
      </c>
      <c r="U35" s="121"/>
      <c r="V35" s="121">
        <f t="shared" si="4"/>
        <v>818.36953633090104</v>
      </c>
      <c r="W35" s="10"/>
      <c r="X35" s="66">
        <f t="shared" si="8"/>
        <v>1.0050171413604483</v>
      </c>
      <c r="Y35" s="9"/>
      <c r="Z35" s="9"/>
    </row>
    <row r="36" spans="1:26" x14ac:dyDescent="0.25">
      <c r="A36">
        <v>5</v>
      </c>
      <c r="B36">
        <v>2000</v>
      </c>
      <c r="C36" s="10">
        <f t="shared" si="11"/>
        <v>11.5</v>
      </c>
      <c r="D36" s="10">
        <f t="shared" si="9"/>
        <v>284.64999999999998</v>
      </c>
      <c r="E36" s="9">
        <f t="shared" ref="E36:E64" si="12">E35-P35/2</f>
        <v>16.745928357959126</v>
      </c>
      <c r="F36" s="9">
        <f t="shared" ref="F36:F65" si="13">E36+273.15</f>
        <v>289.89592835795912</v>
      </c>
      <c r="G36" s="66">
        <f t="shared" si="0"/>
        <v>1.1473044411749798</v>
      </c>
      <c r="H36" s="10">
        <f t="shared" si="1"/>
        <v>19.244613710497571</v>
      </c>
      <c r="I36" s="10">
        <f>$I$32*EXP(-((B36-$B$32)*9.81)/(287*((SUM(C$32:C36)/A36+273.15))))</f>
        <v>770.95983007977372</v>
      </c>
      <c r="J36" s="105">
        <f t="shared" si="5"/>
        <v>1717.8861098739333</v>
      </c>
      <c r="K36">
        <f t="shared" ref="K36:K65" si="14">(0.622*H36)/(I36-H36)</f>
        <v>1.5923782660332918E-2</v>
      </c>
      <c r="L36" s="9">
        <f t="shared" ref="L36:L65" si="15">K36*1000</f>
        <v>15.923782660332918</v>
      </c>
      <c r="M36" s="114">
        <f t="shared" si="2"/>
        <v>4.0950598028336147</v>
      </c>
      <c r="N36" s="9"/>
      <c r="O36" s="63">
        <f t="shared" si="10"/>
        <v>4.0598435305080945E-3</v>
      </c>
      <c r="P36" s="113">
        <f t="shared" ref="P36:P65" si="16">O36*1000</f>
        <v>4.0598435305080942</v>
      </c>
      <c r="Q36" s="63">
        <f t="shared" si="6"/>
        <v>4.0598435305080945E-3</v>
      </c>
      <c r="R36" s="67">
        <f t="shared" si="7"/>
        <v>4.0598435305080942</v>
      </c>
      <c r="S36" s="63"/>
      <c r="T36" s="121">
        <f t="shared" si="3"/>
        <v>16.745928357959126</v>
      </c>
      <c r="U36" s="121"/>
      <c r="V36" s="121">
        <f t="shared" si="4"/>
        <v>770.95983007977372</v>
      </c>
      <c r="W36" s="10"/>
      <c r="X36" s="66">
        <f t="shared" si="8"/>
        <v>1.0086742930019061</v>
      </c>
      <c r="Y36" s="9"/>
      <c r="Z36" s="9"/>
    </row>
    <row r="37" spans="1:26" x14ac:dyDescent="0.25">
      <c r="A37">
        <v>6</v>
      </c>
      <c r="B37">
        <v>2500</v>
      </c>
      <c r="C37" s="10">
        <f t="shared" si="11"/>
        <v>8.25</v>
      </c>
      <c r="D37" s="10">
        <f t="shared" si="9"/>
        <v>281.39999999999998</v>
      </c>
      <c r="E37" s="9">
        <f t="shared" si="12"/>
        <v>14.71600659270508</v>
      </c>
      <c r="F37" s="9">
        <f t="shared" si="13"/>
        <v>287.86600659270505</v>
      </c>
      <c r="G37" s="66">
        <f t="shared" si="0"/>
        <v>1.0153391963619351</v>
      </c>
      <c r="H37" s="10">
        <f t="shared" si="1"/>
        <v>16.8654300800135</v>
      </c>
      <c r="I37" s="10">
        <f>$I$32*EXP(-((B37-$B$32)*9.81)/(287*((SUM(C$32:C37)/A37+273.15))))</f>
        <v>725.81027575447376</v>
      </c>
      <c r="J37" s="105">
        <f t="shared" si="5"/>
        <v>2085.3466295020398</v>
      </c>
      <c r="K37">
        <f t="shared" si="14"/>
        <v>1.4797057308158253E-2</v>
      </c>
      <c r="L37" s="9">
        <f t="shared" si="15"/>
        <v>14.797057308158253</v>
      </c>
      <c r="M37" s="114">
        <f t="shared" si="2"/>
        <v>4.1971995205312753</v>
      </c>
      <c r="N37" s="9"/>
      <c r="O37" s="63">
        <f t="shared" si="10"/>
        <v>4.1472542894792821E-3</v>
      </c>
      <c r="P37" s="113">
        <f t="shared" si="16"/>
        <v>4.1472542894792817</v>
      </c>
      <c r="Q37" s="63">
        <f t="shared" si="6"/>
        <v>4.1472542894792821E-3</v>
      </c>
      <c r="R37" s="67">
        <f t="shared" si="7"/>
        <v>4.1472542894792817</v>
      </c>
      <c r="S37" s="63"/>
      <c r="T37" s="121">
        <f t="shared" si="3"/>
        <v>14.71600659270508</v>
      </c>
      <c r="U37" s="121"/>
      <c r="V37" s="121">
        <f t="shared" si="4"/>
        <v>725.81027575447376</v>
      </c>
      <c r="W37" s="10"/>
      <c r="X37" s="66">
        <f t="shared" si="8"/>
        <v>1.0120429632633559</v>
      </c>
      <c r="Y37" s="9"/>
      <c r="Z37" s="9"/>
    </row>
    <row r="38" spans="1:26" x14ac:dyDescent="0.25">
      <c r="A38">
        <v>7</v>
      </c>
      <c r="B38">
        <v>3000</v>
      </c>
      <c r="C38" s="10">
        <f t="shared" si="11"/>
        <v>5</v>
      </c>
      <c r="D38" s="10">
        <f t="shared" si="9"/>
        <v>278.14999999999998</v>
      </c>
      <c r="E38" s="9">
        <f t="shared" si="12"/>
        <v>12.642379447965439</v>
      </c>
      <c r="F38" s="9">
        <f t="shared" si="13"/>
        <v>285.7923794479654</v>
      </c>
      <c r="G38" s="66">
        <f t="shared" si="0"/>
        <v>0.87859704502935954</v>
      </c>
      <c r="H38" s="10">
        <f t="shared" si="1"/>
        <v>14.709945331569752</v>
      </c>
      <c r="I38" s="10">
        <f>$I$32*EXP(-((B38-$B$32)*9.81)/(287*((SUM(C$32:C38)/A38+273.15))))</f>
        <v>682.83946718778782</v>
      </c>
      <c r="J38" s="105">
        <f t="shared" si="5"/>
        <v>2452.6884269008838</v>
      </c>
      <c r="K38">
        <f t="shared" si="14"/>
        <v>1.3694329762314234E-2</v>
      </c>
      <c r="L38" s="9">
        <f t="shared" si="15"/>
        <v>13.694329762314235</v>
      </c>
      <c r="M38" s="114">
        <f t="shared" si="2"/>
        <v>4.3075640739708341</v>
      </c>
      <c r="N38" s="9"/>
      <c r="O38" s="63">
        <f t="shared" si="10"/>
        <v>4.243376998900289E-3</v>
      </c>
      <c r="P38" s="113">
        <f t="shared" si="16"/>
        <v>4.2433769989002892</v>
      </c>
      <c r="Q38" s="63">
        <f t="shared" si="6"/>
        <v>4.243376998900289E-3</v>
      </c>
      <c r="R38" s="67">
        <f t="shared" si="7"/>
        <v>4.2433769989002892</v>
      </c>
      <c r="S38" s="63"/>
      <c r="T38" s="121">
        <f t="shared" si="3"/>
        <v>12.642379447965439</v>
      </c>
      <c r="U38" s="121"/>
      <c r="V38" s="121">
        <f t="shared" si="4"/>
        <v>682.83946718778782</v>
      </c>
      <c r="W38" s="10"/>
      <c r="X38" s="66">
        <f t="shared" si="8"/>
        <v>1.0151264134879319</v>
      </c>
      <c r="Y38" s="9"/>
      <c r="Z38" s="9"/>
    </row>
    <row r="39" spans="1:26" x14ac:dyDescent="0.25">
      <c r="A39">
        <v>8</v>
      </c>
      <c r="B39">
        <v>3500</v>
      </c>
      <c r="C39" s="10">
        <f t="shared" si="11"/>
        <v>1.75</v>
      </c>
      <c r="D39" s="10">
        <f t="shared" si="9"/>
        <v>274.89999999999998</v>
      </c>
      <c r="E39" s="9">
        <f t="shared" si="12"/>
        <v>10.520690948515295</v>
      </c>
      <c r="F39" s="9">
        <f t="shared" si="13"/>
        <v>283.67069094851524</v>
      </c>
      <c r="G39" s="66">
        <f t="shared" si="0"/>
        <v>0.7366163565317877</v>
      </c>
      <c r="H39" s="10">
        <f t="shared" si="1"/>
        <v>12.762907719998593</v>
      </c>
      <c r="I39" s="10">
        <f>$I$32*EXP(-((B39-$B$32)*9.81)/(287*((SUM(C$32:C39)/A39+273.15))))</f>
        <v>641.96776127408145</v>
      </c>
      <c r="J39" s="105">
        <f t="shared" si="5"/>
        <v>2819.8867991730631</v>
      </c>
      <c r="K39">
        <f t="shared" si="14"/>
        <v>1.2616763136835487E-2</v>
      </c>
      <c r="L39" s="9">
        <f t="shared" si="15"/>
        <v>12.616763136835488</v>
      </c>
      <c r="M39" s="114">
        <f t="shared" si="2"/>
        <v>4.427290257585403</v>
      </c>
      <c r="N39" s="9"/>
      <c r="O39" s="63">
        <f t="shared" si="10"/>
        <v>4.3493117097478436E-3</v>
      </c>
      <c r="P39" s="113">
        <f t="shared" si="16"/>
        <v>4.3493117097478438</v>
      </c>
      <c r="Q39" s="63">
        <f t="shared" si="6"/>
        <v>4.3493117097478445E-3</v>
      </c>
      <c r="R39" s="67">
        <f t="shared" si="7"/>
        <v>4.3493117097478446</v>
      </c>
      <c r="S39" s="63"/>
      <c r="T39" s="121">
        <f t="shared" si="3"/>
        <v>10.520690948515295</v>
      </c>
      <c r="U39" s="121"/>
      <c r="V39" s="121">
        <f t="shared" si="4"/>
        <v>641.96776127408145</v>
      </c>
      <c r="W39" s="10"/>
      <c r="X39" s="66">
        <f t="shared" si="8"/>
        <v>1.0179289398050708</v>
      </c>
      <c r="Y39" s="9"/>
      <c r="Z39" s="9"/>
    </row>
    <row r="40" spans="1:26" x14ac:dyDescent="0.25">
      <c r="A40">
        <v>9</v>
      </c>
      <c r="B40">
        <v>4000</v>
      </c>
      <c r="C40" s="10">
        <f t="shared" si="11"/>
        <v>-1.5</v>
      </c>
      <c r="D40" s="10">
        <f t="shared" si="9"/>
        <v>271.64999999999998</v>
      </c>
      <c r="E40" s="9">
        <f t="shared" si="12"/>
        <v>8.3460350936413725</v>
      </c>
      <c r="F40" s="9">
        <f t="shared" si="13"/>
        <v>281.49603509364135</v>
      </c>
      <c r="G40" s="66">
        <f t="shared" si="0"/>
        <v>0.58887007610327657</v>
      </c>
      <c r="H40" s="10">
        <f t="shared" si="1"/>
        <v>11.009921813196424</v>
      </c>
      <c r="I40" s="10">
        <f>$I$32*EXP(-((B40-$B$32)*9.81)/(287*((SUM(C$32:C40)/A40+273.15))))</f>
        <v>603.11728001176778</v>
      </c>
      <c r="J40" s="105">
        <f t="shared" si="5"/>
        <v>3186.9165169480934</v>
      </c>
      <c r="K40">
        <f t="shared" si="14"/>
        <v>1.1565759609276039E-2</v>
      </c>
      <c r="L40" s="9">
        <f t="shared" si="15"/>
        <v>11.565759609276039</v>
      </c>
      <c r="M40" s="114">
        <f t="shared" si="2"/>
        <v>4.5576693315998371</v>
      </c>
      <c r="N40" s="9"/>
      <c r="O40" s="63">
        <f t="shared" si="10"/>
        <v>4.4663084462631588E-3</v>
      </c>
      <c r="P40" s="113">
        <f t="shared" si="16"/>
        <v>4.4663084462631586</v>
      </c>
      <c r="Q40" s="63">
        <f t="shared" si="6"/>
        <v>4.4663084462631588E-3</v>
      </c>
      <c r="R40" s="67">
        <f t="shared" si="7"/>
        <v>4.4663084462631586</v>
      </c>
      <c r="S40" s="63"/>
      <c r="T40" s="121">
        <f t="shared" si="3"/>
        <v>8.3460350936413725</v>
      </c>
      <c r="U40" s="121"/>
      <c r="V40" s="121">
        <f t="shared" si="4"/>
        <v>603.11728001176778</v>
      </c>
      <c r="W40" s="10"/>
      <c r="X40" s="66">
        <f t="shared" si="8"/>
        <v>1.0204555700610238</v>
      </c>
      <c r="Y40" s="9"/>
      <c r="Z40" s="9"/>
    </row>
    <row r="41" spans="1:26" x14ac:dyDescent="0.25">
      <c r="A41">
        <v>10</v>
      </c>
      <c r="B41">
        <v>4500</v>
      </c>
      <c r="C41" s="10">
        <f t="shared" si="11"/>
        <v>-4.75</v>
      </c>
      <c r="D41" s="10">
        <f t="shared" si="9"/>
        <v>268.39999999999998</v>
      </c>
      <c r="E41" s="9">
        <f t="shared" si="12"/>
        <v>6.1128808705097928</v>
      </c>
      <c r="F41" s="9">
        <f t="shared" si="13"/>
        <v>279.26288087050978</v>
      </c>
      <c r="G41" s="66">
        <f t="shared" si="0"/>
        <v>0.43475469410140788</v>
      </c>
      <c r="H41" s="10">
        <f t="shared" si="1"/>
        <v>9.4374089540484931</v>
      </c>
      <c r="I41" s="10">
        <f>$I$32*EXP(-((B41-$B$32)*9.81)/(287*((SUM(C$32:C41)/A41+273.15))))</f>
        <v>566.21191141403528</v>
      </c>
      <c r="J41" s="105">
        <f t="shared" si="5"/>
        <v>3553.7518162913666</v>
      </c>
      <c r="K41">
        <f t="shared" si="14"/>
        <v>1.0542990642499871E-2</v>
      </c>
      <c r="L41" s="9">
        <f t="shared" si="15"/>
        <v>10.542990642499872</v>
      </c>
      <c r="M41" s="114">
        <f t="shared" si="2"/>
        <v>4.7001574121612366</v>
      </c>
      <c r="N41" s="9"/>
      <c r="O41" s="63">
        <f t="shared" si="10"/>
        <v>4.5957800747686685E-3</v>
      </c>
      <c r="P41" s="113">
        <f t="shared" si="16"/>
        <v>4.5957800747686681</v>
      </c>
      <c r="Q41" s="63">
        <f t="shared" si="6"/>
        <v>4.5957800747686685E-3</v>
      </c>
      <c r="R41" s="67">
        <f t="shared" si="7"/>
        <v>4.5957800747686681</v>
      </c>
      <c r="S41" s="63"/>
      <c r="T41" s="121">
        <f t="shared" si="3"/>
        <v>6.1128808705097928</v>
      </c>
      <c r="U41" s="121"/>
      <c r="V41" s="121">
        <f t="shared" si="4"/>
        <v>566.21191141403528</v>
      </c>
      <c r="W41" s="10"/>
      <c r="X41" s="66">
        <f t="shared" si="8"/>
        <v>1.0227115605391153</v>
      </c>
      <c r="Y41" s="9"/>
      <c r="Z41" s="9"/>
    </row>
    <row r="42" spans="1:26" x14ac:dyDescent="0.25">
      <c r="A42">
        <v>11</v>
      </c>
      <c r="B42">
        <v>5000</v>
      </c>
      <c r="C42" s="10">
        <f t="shared" si="11"/>
        <v>-8</v>
      </c>
      <c r="D42" s="10">
        <f t="shared" si="9"/>
        <v>265.14999999999998</v>
      </c>
      <c r="E42" s="9">
        <f t="shared" si="12"/>
        <v>3.8149908331254587</v>
      </c>
      <c r="F42" s="9">
        <f t="shared" si="13"/>
        <v>276.96499083312546</v>
      </c>
      <c r="G42" s="66">
        <f t="shared" si="0"/>
        <v>0.27357737854423148</v>
      </c>
      <c r="H42" s="10">
        <f t="shared" si="1"/>
        <v>8.032566989031368</v>
      </c>
      <c r="I42" s="10">
        <f>$I$32*EXP(-((B42-$B$32)*9.81)/(287*((SUM(C$32:C42)/A42+273.15))))</f>
        <v>531.1773092799275</v>
      </c>
      <c r="J42" s="105">
        <f t="shared" si="5"/>
        <v>3920.3663905935209</v>
      </c>
      <c r="K42">
        <f t="shared" si="14"/>
        <v>9.5504289029045199E-3</v>
      </c>
      <c r="L42" s="9">
        <f t="shared" si="15"/>
        <v>9.5504289029045193</v>
      </c>
      <c r="M42" s="114">
        <f t="shared" si="2"/>
        <v>4.856378620552106</v>
      </c>
      <c r="N42" s="9"/>
      <c r="O42" s="63">
        <f t="shared" si="10"/>
        <v>4.7393099870844911E-3</v>
      </c>
      <c r="P42" s="113">
        <f t="shared" si="16"/>
        <v>4.739309987084491</v>
      </c>
      <c r="Q42" s="63">
        <f t="shared" si="6"/>
        <v>4.7393099870844911E-3</v>
      </c>
      <c r="R42" s="67">
        <f t="shared" si="7"/>
        <v>4.739309987084491</v>
      </c>
      <c r="S42" s="63"/>
      <c r="T42" s="121">
        <f t="shared" si="3"/>
        <v>3.8149908331254587</v>
      </c>
      <c r="U42" s="121"/>
      <c r="V42" s="121">
        <f t="shared" si="4"/>
        <v>531.1773092799275</v>
      </c>
      <c r="W42" s="10"/>
      <c r="X42" s="66">
        <f t="shared" si="8"/>
        <v>1.0247016198110377</v>
      </c>
      <c r="Y42" s="9"/>
      <c r="Z42" s="9"/>
    </row>
    <row r="43" spans="1:26" x14ac:dyDescent="0.25">
      <c r="A43">
        <v>12</v>
      </c>
      <c r="B43">
        <v>5500</v>
      </c>
      <c r="C43" s="10">
        <f t="shared" si="11"/>
        <v>-11.25</v>
      </c>
      <c r="D43" s="10">
        <f t="shared" si="9"/>
        <v>261.89999999999998</v>
      </c>
      <c r="E43" s="9">
        <f t="shared" si="12"/>
        <v>1.4453358395832132</v>
      </c>
      <c r="F43" s="9">
        <f t="shared" si="13"/>
        <v>274.59533583958319</v>
      </c>
      <c r="G43" s="66">
        <f t="shared" si="0"/>
        <v>0.10454112687566693</v>
      </c>
      <c r="H43" s="10">
        <f t="shared" si="1"/>
        <v>6.7833284278753938</v>
      </c>
      <c r="I43" s="10">
        <f>$I$32*EXP(-((B43-$B$32)*9.81)/(287*((SUM(C$32:C43)/A43+273.15))))</f>
        <v>497.9408918192828</v>
      </c>
      <c r="J43" s="105">
        <f t="shared" si="5"/>
        <v>4286.7333824470816</v>
      </c>
      <c r="K43">
        <f t="shared" si="14"/>
        <v>8.5903803516839197E-3</v>
      </c>
      <c r="L43" s="9">
        <f t="shared" si="15"/>
        <v>8.590380351683919</v>
      </c>
      <c r="M43" s="114">
        <f t="shared" si="2"/>
        <v>5.0281148459128158</v>
      </c>
      <c r="N43" s="9"/>
      <c r="O43" s="63">
        <f t="shared" si="10"/>
        <v>4.898649539821681E-3</v>
      </c>
      <c r="P43" s="113">
        <f t="shared" si="16"/>
        <v>4.8986495398216814</v>
      </c>
      <c r="Q43" s="63">
        <f t="shared" si="6"/>
        <v>4.898649539821681E-3</v>
      </c>
      <c r="R43" s="67">
        <f t="shared" si="7"/>
        <v>4.8986495398216814</v>
      </c>
      <c r="S43" s="63"/>
      <c r="T43" s="121">
        <f t="shared" si="3"/>
        <v>1.4453358395832132</v>
      </c>
      <c r="U43" s="121"/>
      <c r="V43" s="121">
        <f t="shared" si="4"/>
        <v>497.9408918192828</v>
      </c>
      <c r="W43" s="10"/>
      <c r="X43" s="66">
        <f t="shared" si="8"/>
        <v>1.0264287749182088</v>
      </c>
      <c r="Y43" s="9"/>
      <c r="Z43" s="9"/>
    </row>
    <row r="44" spans="1:26" x14ac:dyDescent="0.25">
      <c r="A44">
        <v>13</v>
      </c>
      <c r="B44">
        <v>6000</v>
      </c>
      <c r="C44" s="10">
        <f t="shared" si="11"/>
        <v>-14.5</v>
      </c>
      <c r="D44" s="10">
        <f t="shared" si="9"/>
        <v>258.64999999999998</v>
      </c>
      <c r="E44" s="9">
        <f t="shared" si="12"/>
        <v>-1.0039889303276275</v>
      </c>
      <c r="F44" s="9">
        <f t="shared" si="13"/>
        <v>272.14601106967234</v>
      </c>
      <c r="G44" s="66">
        <f t="shared" si="0"/>
        <v>-7.327207875797459E-2</v>
      </c>
      <c r="H44" s="10">
        <f t="shared" si="1"/>
        <v>5.6783159121328888</v>
      </c>
      <c r="I44" s="10">
        <f>$I$32*EXP(-((B44-$B$32)*9.81)/(287*((SUM(C$32:C44)/A44+273.15))))</f>
        <v>466.43183912651381</v>
      </c>
      <c r="J44" s="105">
        <f t="shared" si="5"/>
        <v>4652.8253755179685</v>
      </c>
      <c r="K44">
        <f t="shared" si="14"/>
        <v>7.6655138146460083E-3</v>
      </c>
      <c r="L44" s="9">
        <f t="shared" si="15"/>
        <v>7.6655138146460082</v>
      </c>
      <c r="M44" s="114">
        <f t="shared" si="2"/>
        <v>5.2172726622035492</v>
      </c>
      <c r="N44" s="9"/>
      <c r="O44" s="63">
        <f t="shared" si="10"/>
        <v>5.0756972811749658E-3</v>
      </c>
      <c r="P44" s="113">
        <f t="shared" si="16"/>
        <v>5.0756972811749659</v>
      </c>
      <c r="Q44" s="63">
        <f t="shared" si="6"/>
        <v>5.0756972811749649E-3</v>
      </c>
      <c r="R44" s="67">
        <f t="shared" si="7"/>
        <v>5.075697281174965</v>
      </c>
      <c r="S44" s="63"/>
      <c r="T44" s="121">
        <f t="shared" si="3"/>
        <v>-1.0039889303276275</v>
      </c>
      <c r="U44" s="121"/>
      <c r="V44" s="121">
        <f t="shared" si="4"/>
        <v>466.43183912651381</v>
      </c>
      <c r="W44" s="10"/>
      <c r="X44" s="66">
        <f t="shared" si="8"/>
        <v>1.0278927944646477</v>
      </c>
      <c r="Y44" s="9"/>
      <c r="Z44" s="9"/>
    </row>
    <row r="45" spans="1:26" x14ac:dyDescent="0.25">
      <c r="A45">
        <v>14</v>
      </c>
      <c r="B45">
        <v>6500</v>
      </c>
      <c r="C45" s="10">
        <f t="shared" si="11"/>
        <v>-17.75</v>
      </c>
      <c r="D45" s="10">
        <f t="shared" si="9"/>
        <v>255.39999999999998</v>
      </c>
      <c r="E45" s="9">
        <f t="shared" si="12"/>
        <v>-3.5418375709151104</v>
      </c>
      <c r="F45" s="9">
        <f t="shared" si="13"/>
        <v>269.60816242908487</v>
      </c>
      <c r="G45" s="66">
        <f t="shared" si="0"/>
        <v>-0.26091987729426708</v>
      </c>
      <c r="H45" s="10">
        <f t="shared" si="1"/>
        <v>4.7067935247997656</v>
      </c>
      <c r="I45" s="10">
        <f>$I$32*EXP(-((B45-$B$32)*9.81)/(287*((SUM(C$32:C45)/A45+273.15))))</f>
        <v>436.58108949972348</v>
      </c>
      <c r="J45" s="105">
        <f t="shared" si="5"/>
        <v>5018.6143864197747</v>
      </c>
      <c r="K45">
        <f t="shared" si="14"/>
        <v>6.7788835772607395E-3</v>
      </c>
      <c r="L45" s="9">
        <f t="shared" si="15"/>
        <v>6.7788835772607392</v>
      </c>
      <c r="M45" s="114">
        <f t="shared" si="2"/>
        <v>5.4258134622898062</v>
      </c>
      <c r="N45" s="9"/>
      <c r="O45" s="63">
        <f t="shared" si="10"/>
        <v>5.2724479099193304E-3</v>
      </c>
      <c r="P45" s="113">
        <f t="shared" si="16"/>
        <v>5.2724479099193307</v>
      </c>
      <c r="Q45" s="63">
        <f t="shared" si="6"/>
        <v>5.2724479099193304E-3</v>
      </c>
      <c r="R45" s="67">
        <f t="shared" si="7"/>
        <v>5.2724479099193307</v>
      </c>
      <c r="S45" s="63"/>
      <c r="T45" s="121">
        <f t="shared" si="3"/>
        <v>-3.5418375709151104</v>
      </c>
      <c r="U45" s="121"/>
      <c r="V45" s="121">
        <f t="shared" si="4"/>
        <v>436.58108949972348</v>
      </c>
      <c r="W45" s="10"/>
      <c r="X45" s="66">
        <f t="shared" si="8"/>
        <v>1.0290881114409762</v>
      </c>
      <c r="Y45" s="9"/>
      <c r="Z45" s="9"/>
    </row>
    <row r="46" spans="1:26" x14ac:dyDescent="0.25">
      <c r="A46">
        <v>15</v>
      </c>
      <c r="B46">
        <v>7000</v>
      </c>
      <c r="C46" s="10">
        <f t="shared" si="11"/>
        <v>-21</v>
      </c>
      <c r="D46" s="10">
        <f t="shared" si="9"/>
        <v>252.14999999999998</v>
      </c>
      <c r="E46" s="9">
        <f t="shared" si="12"/>
        <v>-6.1780615258747762</v>
      </c>
      <c r="F46" s="9">
        <f t="shared" si="13"/>
        <v>266.97193847412518</v>
      </c>
      <c r="G46" s="66">
        <f t="shared" si="0"/>
        <v>-0.45961921389355043</v>
      </c>
      <c r="H46" s="10">
        <f t="shared" si="1"/>
        <v>3.8586121002536538</v>
      </c>
      <c r="I46" s="10">
        <f>$I$32*EXP(-((B46-$B$32)*9.81)/(287*((SUM(C$32:C46)/A46+273.15))))</f>
        <v>408.3213346032324</v>
      </c>
      <c r="J46" s="105">
        <f t="shared" si="5"/>
        <v>5384.0718565994875</v>
      </c>
      <c r="K46">
        <f t="shared" si="14"/>
        <v>5.9339380190719477E-3</v>
      </c>
      <c r="L46" s="9">
        <f t="shared" si="15"/>
        <v>5.933938019071948</v>
      </c>
      <c r="M46" s="114">
        <f t="shared" si="2"/>
        <v>5.6556274284604662</v>
      </c>
      <c r="N46" s="9"/>
      <c r="O46" s="63">
        <f t="shared" si="10"/>
        <v>5.490893610529823E-3</v>
      </c>
      <c r="P46" s="113">
        <f t="shared" si="16"/>
        <v>5.4908936105298229</v>
      </c>
      <c r="Q46" s="63">
        <f t="shared" si="6"/>
        <v>5.4908936105298248E-3</v>
      </c>
      <c r="R46" s="67">
        <f t="shared" si="7"/>
        <v>5.4908936105298247</v>
      </c>
      <c r="S46" s="63"/>
      <c r="T46" s="121">
        <f t="shared" si="3"/>
        <v>-6.1780615258747762</v>
      </c>
      <c r="U46" s="121"/>
      <c r="V46" s="121">
        <f t="shared" si="4"/>
        <v>408.3213346032324</v>
      </c>
      <c r="W46" s="10"/>
      <c r="X46" s="66">
        <f t="shared" si="8"/>
        <v>1.0300012765890663</v>
      </c>
      <c r="Y46" s="9"/>
      <c r="Z46" s="9"/>
    </row>
    <row r="47" spans="1:26" x14ac:dyDescent="0.25">
      <c r="A47">
        <v>16</v>
      </c>
      <c r="B47">
        <v>7500</v>
      </c>
      <c r="C47" s="10">
        <f t="shared" si="11"/>
        <v>-24.25</v>
      </c>
      <c r="D47" s="10">
        <f t="shared" si="9"/>
        <v>248.89999999999998</v>
      </c>
      <c r="E47" s="9">
        <f t="shared" si="12"/>
        <v>-8.9235083311396881</v>
      </c>
      <c r="F47" s="9">
        <f t="shared" si="13"/>
        <v>264.22649166886026</v>
      </c>
      <c r="G47" s="66">
        <f t="shared" si="0"/>
        <v>-0.67076568453210428</v>
      </c>
      <c r="H47" s="10">
        <f t="shared" si="1"/>
        <v>3.1241463837244701</v>
      </c>
      <c r="I47" s="10">
        <f>$I$32*EXP(-((B47-$B$32)*9.81)/(287*((SUM(C$32:C47)/A47+273.15))))</f>
        <v>381.58701347320681</v>
      </c>
      <c r="J47" s="105">
        <f t="shared" si="5"/>
        <v>5749.1686442437795</v>
      </c>
      <c r="K47">
        <f t="shared" si="14"/>
        <v>5.134503856668117E-3</v>
      </c>
      <c r="L47" s="9">
        <f t="shared" si="15"/>
        <v>5.1345038566681174</v>
      </c>
      <c r="M47" s="114">
        <f t="shared" si="2"/>
        <v>5.9083266450801997</v>
      </c>
      <c r="N47" s="9"/>
      <c r="O47" s="63">
        <f t="shared" si="10"/>
        <v>5.7328544652332546E-3</v>
      </c>
      <c r="P47" s="113">
        <f t="shared" si="16"/>
        <v>5.7328544652332543</v>
      </c>
      <c r="Q47" s="63">
        <f t="shared" si="6"/>
        <v>5.7328544652332546E-3</v>
      </c>
      <c r="R47" s="67">
        <f t="shared" si="7"/>
        <v>5.7328544652332543</v>
      </c>
      <c r="S47" s="63"/>
      <c r="T47" s="121">
        <f t="shared" si="3"/>
        <v>-8.9235083311396881</v>
      </c>
      <c r="U47" s="121"/>
      <c r="V47" s="121">
        <f t="shared" si="4"/>
        <v>381.58701347320681</v>
      </c>
      <c r="W47" s="10"/>
      <c r="X47" s="66">
        <f t="shared" si="8"/>
        <v>1.0306081692656062</v>
      </c>
      <c r="Y47" s="9"/>
      <c r="Z47" s="9"/>
    </row>
    <row r="48" spans="1:26" x14ac:dyDescent="0.25">
      <c r="A48">
        <v>17</v>
      </c>
      <c r="B48">
        <v>8000</v>
      </c>
      <c r="C48" s="10">
        <f t="shared" si="11"/>
        <v>-27.5</v>
      </c>
      <c r="D48" s="10">
        <f t="shared" si="9"/>
        <v>245.64999999999998</v>
      </c>
      <c r="E48" s="9">
        <f t="shared" si="12"/>
        <v>-11.789935563756316</v>
      </c>
      <c r="F48" s="9">
        <f t="shared" si="13"/>
        <v>261.36006443624365</v>
      </c>
      <c r="G48" s="66">
        <f t="shared" si="0"/>
        <v>-0.8959499807606397</v>
      </c>
      <c r="H48" s="10">
        <f t="shared" si="1"/>
        <v>2.4942218391557116</v>
      </c>
      <c r="I48" s="10">
        <f>$I$32*EXP(-((B48-$B$32)*9.81)/(287*((SUM(C$32:C48)/A48+273.15))))</f>
        <v>356.31430536774678</v>
      </c>
      <c r="J48" s="105">
        <f t="shared" si="5"/>
        <v>6113.8750162156748</v>
      </c>
      <c r="K48">
        <f t="shared" si="14"/>
        <v>4.3847312693019828E-3</v>
      </c>
      <c r="L48" s="9">
        <f t="shared" si="15"/>
        <v>4.3847312693019829</v>
      </c>
      <c r="M48" s="114">
        <f t="shared" si="2"/>
        <v>6.1849304260217481</v>
      </c>
      <c r="N48" s="9"/>
      <c r="O48" s="63">
        <f t="shared" si="10"/>
        <v>5.9997100268113467E-3</v>
      </c>
      <c r="P48" s="113">
        <f t="shared" si="16"/>
        <v>5.9997100268113464</v>
      </c>
      <c r="Q48" s="63">
        <f t="shared" si="6"/>
        <v>5.9997100268113475E-3</v>
      </c>
      <c r="R48" s="67">
        <f t="shared" si="7"/>
        <v>5.9997100268113472</v>
      </c>
      <c r="S48" s="63"/>
      <c r="T48" s="121">
        <f t="shared" si="3"/>
        <v>-11.789935563756316</v>
      </c>
      <c r="U48" s="121"/>
      <c r="V48" s="121">
        <f t="shared" si="4"/>
        <v>356.31430536774678</v>
      </c>
      <c r="W48" s="10"/>
      <c r="X48" s="66">
        <f t="shared" si="8"/>
        <v>1.0308715585224442</v>
      </c>
      <c r="Y48" s="9"/>
      <c r="Z48" s="9"/>
    </row>
    <row r="49" spans="1:26" x14ac:dyDescent="0.25">
      <c r="A49">
        <v>18</v>
      </c>
      <c r="B49">
        <v>8500</v>
      </c>
      <c r="C49" s="10">
        <f t="shared" si="11"/>
        <v>-30.75</v>
      </c>
      <c r="D49" s="10">
        <f t="shared" si="9"/>
        <v>242.39999999999998</v>
      </c>
      <c r="E49" s="9">
        <f t="shared" si="12"/>
        <v>-14.789790577161989</v>
      </c>
      <c r="F49" s="9">
        <f t="shared" si="13"/>
        <v>258.36020942283801</v>
      </c>
      <c r="G49" s="66">
        <f t="shared" si="0"/>
        <v>-1.1369672575626826</v>
      </c>
      <c r="H49" s="10">
        <f t="shared" si="1"/>
        <v>1.9600294833318102</v>
      </c>
      <c r="I49" s="10">
        <f>$I$32*EXP(-((B49-$B$32)*9.81)/(287*((SUM(C$32:C49)/A49+273.15))))</f>
        <v>332.44112146450124</v>
      </c>
      <c r="J49" s="105">
        <f t="shared" si="5"/>
        <v>6478.1606400320898</v>
      </c>
      <c r="K49">
        <f t="shared" si="14"/>
        <v>3.6889806049837538E-3</v>
      </c>
      <c r="L49" s="9">
        <f t="shared" si="15"/>
        <v>3.6889806049837537</v>
      </c>
      <c r="M49" s="114">
        <f t="shared" si="2"/>
        <v>6.4854228846191981</v>
      </c>
      <c r="N49" s="9"/>
      <c r="O49" s="63">
        <f t="shared" si="10"/>
        <v>6.2920054622866732E-3</v>
      </c>
      <c r="P49" s="113">
        <f t="shared" si="16"/>
        <v>6.2920054622866735</v>
      </c>
      <c r="Q49" s="63">
        <f t="shared" si="6"/>
        <v>6.2920054622866723E-3</v>
      </c>
      <c r="R49" s="67">
        <f t="shared" si="7"/>
        <v>6.2920054622866726</v>
      </c>
      <c r="S49" s="63"/>
      <c r="T49" s="121">
        <f t="shared" si="3"/>
        <v>-14.789790577161989</v>
      </c>
      <c r="U49" s="121"/>
      <c r="V49" s="121">
        <f t="shared" si="4"/>
        <v>332.44112146450124</v>
      </c>
      <c r="W49" s="10"/>
      <c r="X49" s="66">
        <f>M49/R49</f>
        <v>1.0307401866530219</v>
      </c>
      <c r="Y49" s="9"/>
      <c r="Z49" s="9"/>
    </row>
    <row r="50" spans="1:26" x14ac:dyDescent="0.25">
      <c r="A50">
        <v>19</v>
      </c>
      <c r="B50">
        <v>9000</v>
      </c>
      <c r="C50" s="10">
        <f t="shared" si="11"/>
        <v>-34</v>
      </c>
      <c r="D50" s="10">
        <f t="shared" si="9"/>
        <v>239.14999999999998</v>
      </c>
      <c r="E50" s="9">
        <f t="shared" si="12"/>
        <v>-17.935793308305325</v>
      </c>
      <c r="F50" s="9">
        <f t="shared" si="13"/>
        <v>255.21420669169464</v>
      </c>
      <c r="G50" s="66">
        <f t="shared" si="0"/>
        <v>-1.3958132155841831</v>
      </c>
      <c r="H50" s="10">
        <f t="shared" si="1"/>
        <v>1.5130289331084767</v>
      </c>
      <c r="I50" s="10">
        <f>$I$32*EXP(-((B50-$B$32)*9.81)/(287*((SUM(C$32:C50)/A50+273.15))))</f>
        <v>309.9070954106316</v>
      </c>
      <c r="J50" s="105">
        <f t="shared" si="5"/>
        <v>6841.9945758933991</v>
      </c>
      <c r="K50">
        <f t="shared" si="14"/>
        <v>3.0516280911068168E-3</v>
      </c>
      <c r="L50" s="9">
        <f t="shared" si="15"/>
        <v>3.0516280911068168</v>
      </c>
      <c r="M50" s="114">
        <f t="shared" si="2"/>
        <v>6.8081890361461603</v>
      </c>
      <c r="N50" s="9"/>
      <c r="O50" s="63">
        <f t="shared" si="10"/>
        <v>6.6089215775107157E-3</v>
      </c>
      <c r="P50" s="113">
        <f t="shared" si="16"/>
        <v>6.6089215775107153</v>
      </c>
      <c r="Q50" s="63">
        <f t="shared" si="6"/>
        <v>6.6089215775107166E-3</v>
      </c>
      <c r="R50" s="67">
        <f t="shared" si="7"/>
        <v>6.6089215775107162</v>
      </c>
      <c r="S50" s="63"/>
      <c r="T50" s="121">
        <f t="shared" si="3"/>
        <v>-17.935793308305325</v>
      </c>
      <c r="U50" s="121"/>
      <c r="V50" s="121">
        <f t="shared" si="4"/>
        <v>309.9070954106316</v>
      </c>
      <c r="W50" s="10"/>
      <c r="X50" s="66">
        <f t="shared" si="8"/>
        <v>1.0301512820659766</v>
      </c>
      <c r="Y50" s="9"/>
      <c r="Z50" s="9"/>
    </row>
    <row r="51" spans="1:26" x14ac:dyDescent="0.25">
      <c r="A51">
        <v>20</v>
      </c>
      <c r="B51">
        <v>9500</v>
      </c>
      <c r="C51" s="10">
        <f t="shared" si="11"/>
        <v>-37.25</v>
      </c>
      <c r="D51" s="10">
        <f t="shared" si="9"/>
        <v>235.89999999999998</v>
      </c>
      <c r="E51" s="9">
        <f t="shared" si="12"/>
        <v>-21.240254097060681</v>
      </c>
      <c r="F51" s="9">
        <f t="shared" si="13"/>
        <v>251.90974590293931</v>
      </c>
      <c r="G51" s="66">
        <f t="shared" si="0"/>
        <v>-1.6746586597411794</v>
      </c>
      <c r="H51" s="10">
        <f t="shared" si="1"/>
        <v>1.144843691231165</v>
      </c>
      <c r="I51" s="10">
        <f>$I$32*EXP(-((B51-$B$32)*9.81)/(287*((SUM(C$32:C51)/A51+273.15))))</f>
        <v>288.65357273173305</v>
      </c>
      <c r="J51" s="105">
        <f t="shared" si="5"/>
        <v>7205.3452687768631</v>
      </c>
      <c r="K51">
        <f t="shared" si="14"/>
        <v>2.4767692387018653E-3</v>
      </c>
      <c r="L51" s="9">
        <f t="shared" si="15"/>
        <v>2.4767692387018654</v>
      </c>
      <c r="M51" s="114">
        <f t="shared" si="2"/>
        <v>7.1493933964616669</v>
      </c>
      <c r="N51" s="9"/>
      <c r="O51" s="63">
        <f t="shared" si="10"/>
        <v>6.9476410344076981E-3</v>
      </c>
      <c r="P51" s="113">
        <f t="shared" si="16"/>
        <v>6.947641034407698</v>
      </c>
      <c r="Q51" s="63">
        <f t="shared" si="6"/>
        <v>6.9476410344076981E-3</v>
      </c>
      <c r="R51" s="67">
        <f t="shared" si="7"/>
        <v>6.947641034407698</v>
      </c>
      <c r="S51" s="63"/>
      <c r="T51" s="121">
        <f t="shared" si="3"/>
        <v>-21.240254097060681</v>
      </c>
      <c r="U51" s="121"/>
      <c r="V51" s="121">
        <f t="shared" si="4"/>
        <v>288.65357273173305</v>
      </c>
      <c r="W51" s="10"/>
      <c r="X51" s="66">
        <f t="shared" si="8"/>
        <v>1.0290389732363554</v>
      </c>
      <c r="Y51" s="9"/>
      <c r="Z51" s="9"/>
    </row>
    <row r="52" spans="1:26" x14ac:dyDescent="0.25">
      <c r="A52">
        <v>21</v>
      </c>
      <c r="B52">
        <v>10000</v>
      </c>
      <c r="C52" s="10">
        <f t="shared" si="11"/>
        <v>-40.5</v>
      </c>
      <c r="D52" s="10">
        <f t="shared" si="9"/>
        <v>232.64999999999998</v>
      </c>
      <c r="E52" s="9">
        <f t="shared" si="12"/>
        <v>-24.714074614264529</v>
      </c>
      <c r="F52" s="9">
        <f t="shared" si="13"/>
        <v>248.43592538573546</v>
      </c>
      <c r="G52" s="66">
        <f t="shared" si="0"/>
        <v>-1.9757933404216421</v>
      </c>
      <c r="H52" s="10">
        <f t="shared" si="1"/>
        <v>0.84715926548507914</v>
      </c>
      <c r="I52" s="10">
        <f>$I$32*EXP(-((B52-$B$32)*9.81)/(287*((SUM(C$32:C52)/A52+273.15))))</f>
        <v>268.62359910814973</v>
      </c>
      <c r="J52" s="105">
        <f t="shared" si="5"/>
        <v>7568.1805406066997</v>
      </c>
      <c r="K52">
        <f t="shared" si="14"/>
        <v>1.9678096528631317E-3</v>
      </c>
      <c r="L52" s="9">
        <f t="shared" si="15"/>
        <v>1.9678096528631317</v>
      </c>
      <c r="M52" s="114">
        <f t="shared" si="2"/>
        <v>7.5024587836375538</v>
      </c>
      <c r="N52" s="9"/>
      <c r="O52" s="63">
        <f t="shared" si="10"/>
        <v>7.3027241759369317E-3</v>
      </c>
      <c r="P52" s="113">
        <f t="shared" si="16"/>
        <v>7.3027241759369321</v>
      </c>
      <c r="Q52" s="63">
        <f t="shared" si="6"/>
        <v>7.3027241759369317E-3</v>
      </c>
      <c r="R52" s="67">
        <f t="shared" si="7"/>
        <v>7.3027241759369321</v>
      </c>
      <c r="S52" s="63"/>
      <c r="T52" s="121">
        <f t="shared" si="3"/>
        <v>-24.714074614264529</v>
      </c>
      <c r="U52" s="121"/>
      <c r="V52" s="121">
        <f t="shared" si="4"/>
        <v>268.62359910814973</v>
      </c>
      <c r="W52" s="10"/>
      <c r="X52" s="66">
        <f t="shared" si="8"/>
        <v>1.0273506985733849</v>
      </c>
      <c r="Y52" s="9"/>
      <c r="Z52" s="9"/>
    </row>
    <row r="53" spans="1:26" x14ac:dyDescent="0.25">
      <c r="A53">
        <v>22</v>
      </c>
      <c r="B53">
        <v>10500</v>
      </c>
      <c r="C53" s="10">
        <f t="shared" si="11"/>
        <v>-43.75</v>
      </c>
      <c r="D53" s="10">
        <f t="shared" si="9"/>
        <v>229.39999999999998</v>
      </c>
      <c r="E53" s="9">
        <f t="shared" si="12"/>
        <v>-28.365436702232994</v>
      </c>
      <c r="F53" s="9">
        <f t="shared" si="13"/>
        <v>244.78456329776699</v>
      </c>
      <c r="G53" s="66">
        <f t="shared" si="0"/>
        <v>-2.3015319542326145</v>
      </c>
      <c r="H53" s="10">
        <f t="shared" si="1"/>
        <v>0.61164380676322105</v>
      </c>
      <c r="I53" s="10">
        <f>$I$32*EXP(-((B53-$B$32)*9.81)/(287*((SUM(C$32:C53)/A53+273.15))))</f>
        <v>249.76190752897753</v>
      </c>
      <c r="J53" s="105">
        <f t="shared" si="5"/>
        <v>7930.4675825141594</v>
      </c>
      <c r="K53">
        <f t="shared" si="14"/>
        <v>1.5269598439233084E-3</v>
      </c>
      <c r="L53" s="9">
        <f t="shared" si="15"/>
        <v>1.5269598439233085</v>
      </c>
      <c r="M53" s="114">
        <f t="shared" si="2"/>
        <v>7.857909764714389</v>
      </c>
      <c r="N53" s="9"/>
      <c r="O53" s="63">
        <f t="shared" si="10"/>
        <v>7.6657205422906109E-3</v>
      </c>
      <c r="P53" s="113">
        <f t="shared" si="16"/>
        <v>7.665720542290611</v>
      </c>
      <c r="Q53" s="63">
        <f t="shared" si="6"/>
        <v>7.6657205422906109E-3</v>
      </c>
      <c r="R53" s="67">
        <f t="shared" si="7"/>
        <v>7.665720542290611</v>
      </c>
      <c r="S53" s="63"/>
      <c r="T53" s="121">
        <f t="shared" si="3"/>
        <v>-28.365436702232994</v>
      </c>
      <c r="U53" s="121"/>
      <c r="V53" s="121">
        <f t="shared" si="4"/>
        <v>249.76190752897753</v>
      </c>
      <c r="W53" s="10"/>
      <c r="X53" s="66">
        <f t="shared" si="8"/>
        <v>1.0250712534279718</v>
      </c>
      <c r="Y53" s="9"/>
      <c r="Z53" s="9"/>
    </row>
    <row r="54" spans="1:26" x14ac:dyDescent="0.25">
      <c r="A54">
        <v>23</v>
      </c>
      <c r="B54">
        <v>11000</v>
      </c>
      <c r="C54" s="10">
        <f t="shared" si="11"/>
        <v>-47</v>
      </c>
      <c r="D54" s="10">
        <f t="shared" si="9"/>
        <v>226.14999999999998</v>
      </c>
      <c r="E54" s="9">
        <f t="shared" si="12"/>
        <v>-32.198296973378298</v>
      </c>
      <c r="F54" s="9">
        <f t="shared" si="13"/>
        <v>240.95170302662169</v>
      </c>
      <c r="G54" s="66">
        <f t="shared" si="0"/>
        <v>-2.6540827721441493</v>
      </c>
      <c r="H54" s="10">
        <f t="shared" si="1"/>
        <v>0.42992005813033035</v>
      </c>
      <c r="I54" s="10">
        <f>$I$32*EXP(-((B54-$B$32)*9.81)/(287*((SUM(C$32:C54)/A54+273.15))))</f>
        <v>232.01490433593415</v>
      </c>
      <c r="J54" s="105">
        <f t="shared" si="5"/>
        <v>8292.1729472020288</v>
      </c>
      <c r="K54">
        <f t="shared" si="14"/>
        <v>1.1546960913333072E-3</v>
      </c>
      <c r="L54" s="9">
        <f t="shared" si="15"/>
        <v>1.1546960913333073</v>
      </c>
      <c r="M54" s="114">
        <f t="shared" si="2"/>
        <v>8.203891966535668</v>
      </c>
      <c r="N54" s="9"/>
      <c r="O54" s="63">
        <f t="shared" si="10"/>
        <v>8.0253364968290841E-3</v>
      </c>
      <c r="P54" s="113">
        <f t="shared" si="16"/>
        <v>8.0253364968290839</v>
      </c>
      <c r="Q54" s="63">
        <f t="shared" si="6"/>
        <v>8.0253364968290841E-3</v>
      </c>
      <c r="R54" s="67">
        <f t="shared" si="7"/>
        <v>8.0253364968290839</v>
      </c>
      <c r="S54" s="63"/>
      <c r="T54" s="121">
        <f t="shared" si="3"/>
        <v>-32.198296973378298</v>
      </c>
      <c r="U54" s="121"/>
      <c r="V54" s="121">
        <f t="shared" si="4"/>
        <v>232.01490433593415</v>
      </c>
      <c r="W54" s="10"/>
      <c r="X54" s="66">
        <f t="shared" si="8"/>
        <v>1.0222489698440849</v>
      </c>
      <c r="Y54" s="9"/>
      <c r="Z54" s="9"/>
    </row>
    <row r="55" spans="1:26" x14ac:dyDescent="0.25">
      <c r="A55">
        <v>24</v>
      </c>
      <c r="B55">
        <v>11500</v>
      </c>
      <c r="C55" s="10">
        <f t="shared" si="11"/>
        <v>-50.25</v>
      </c>
      <c r="D55" s="10">
        <f t="shared" si="9"/>
        <v>222.89999999999998</v>
      </c>
      <c r="E55" s="9">
        <f t="shared" si="12"/>
        <v>-36.21096522179284</v>
      </c>
      <c r="F55" s="9">
        <f t="shared" si="13"/>
        <v>236.93903477820714</v>
      </c>
      <c r="G55" s="66">
        <f t="shared" si="0"/>
        <v>-3.0353938360209503</v>
      </c>
      <c r="H55" s="10">
        <f t="shared" si="1"/>
        <v>0.29362052907415209</v>
      </c>
      <c r="I55" s="10">
        <f>$I$32*EXP(-((B55-$B$32)*9.81)/(287*((SUM(C$32:C55)/A55+273.15))))</f>
        <v>215.33065417118652</v>
      </c>
      <c r="J55" s="105">
        <f t="shared" si="5"/>
        <v>8653.2625414287049</v>
      </c>
      <c r="K55">
        <f>(0.622*H55)/(I55-H55)</f>
        <v>8.4930472668293155E-4</v>
      </c>
      <c r="L55" s="9">
        <f t="shared" si="15"/>
        <v>0.84930472668293155</v>
      </c>
      <c r="M55" s="114">
        <f t="shared" si="2"/>
        <v>8.5275544337051041</v>
      </c>
      <c r="N55" s="9"/>
      <c r="O55" s="63">
        <f t="shared" si="10"/>
        <v>8.368449891286666E-3</v>
      </c>
      <c r="P55" s="113">
        <f t="shared" si="16"/>
        <v>8.3684498912866658</v>
      </c>
      <c r="Q55" s="63">
        <f t="shared" si="6"/>
        <v>8.368449891286666E-3</v>
      </c>
      <c r="R55" s="67">
        <f t="shared" si="7"/>
        <v>8.3684498912866658</v>
      </c>
      <c r="S55" s="63"/>
      <c r="T55" s="121">
        <f t="shared" si="3"/>
        <v>-36.21096522179284</v>
      </c>
      <c r="U55" s="121"/>
      <c r="V55" s="121">
        <f t="shared" si="4"/>
        <v>215.33065417118652</v>
      </c>
      <c r="W55" s="10"/>
      <c r="X55" s="66">
        <f t="shared" si="8"/>
        <v>1.0190124269709855</v>
      </c>
      <c r="Y55" s="9"/>
      <c r="Z55" s="9"/>
    </row>
    <row r="56" spans="1:26" x14ac:dyDescent="0.25">
      <c r="A56">
        <v>25</v>
      </c>
      <c r="B56">
        <v>12000</v>
      </c>
      <c r="C56" s="10">
        <f t="shared" si="11"/>
        <v>-53.5</v>
      </c>
      <c r="D56" s="10">
        <f t="shared" si="9"/>
        <v>219.64999999999998</v>
      </c>
      <c r="E56" s="9">
        <f t="shared" si="12"/>
        <v>-40.395190167436169</v>
      </c>
      <c r="F56" s="9">
        <f t="shared" si="13"/>
        <v>232.75480983256381</v>
      </c>
      <c r="G56" s="66">
        <f t="shared" si="0"/>
        <v>-3.4470100856946835</v>
      </c>
      <c r="H56" s="10">
        <f t="shared" si="1"/>
        <v>0.19454664737116356</v>
      </c>
      <c r="I56" s="10">
        <f>$I$32*EXP(-((B56-$B$32)*9.81)/(287*((SUM(C$32:C56)/A56+273.15))))</f>
        <v>199.65886384515622</v>
      </c>
      <c r="J56" s="105">
        <f t="shared" si="5"/>
        <v>9013.7016186280925</v>
      </c>
      <c r="K56">
        <f t="shared" si="14"/>
        <v>6.0666497328880364E-4</v>
      </c>
      <c r="L56" s="9">
        <f t="shared" si="15"/>
        <v>0.60666497328880364</v>
      </c>
      <c r="M56" s="114">
        <f t="shared" si="2"/>
        <v>8.8171302175180308</v>
      </c>
      <c r="N56" s="9"/>
      <c r="O56" s="63">
        <f t="shared" si="10"/>
        <v>8.6820014462354704E-3</v>
      </c>
      <c r="P56" s="113">
        <f t="shared" si="16"/>
        <v>8.6820014462354695</v>
      </c>
      <c r="Q56" s="63">
        <f t="shared" si="6"/>
        <v>8.6820014462354721E-3</v>
      </c>
      <c r="R56" s="67">
        <f t="shared" si="7"/>
        <v>8.6820014462354713</v>
      </c>
      <c r="S56" s="63"/>
      <c r="T56" s="121">
        <f t="shared" si="3"/>
        <v>-40.395190167436169</v>
      </c>
      <c r="U56" s="121"/>
      <c r="V56" s="121">
        <f t="shared" si="4"/>
        <v>199.65886384515622</v>
      </c>
      <c r="W56" s="10"/>
      <c r="X56" s="66">
        <f t="shared" si="8"/>
        <v>1.015564241968786</v>
      </c>
      <c r="Y56" s="9"/>
      <c r="Z56" s="9"/>
    </row>
    <row r="57" spans="1:26" x14ac:dyDescent="0.25">
      <c r="A57">
        <v>26</v>
      </c>
      <c r="B57">
        <v>12500</v>
      </c>
      <c r="C57" s="10">
        <f t="shared" si="11"/>
        <v>-56.75</v>
      </c>
      <c r="D57" s="10">
        <f t="shared" si="9"/>
        <v>216.39999999999998</v>
      </c>
      <c r="E57" s="9">
        <f t="shared" si="12"/>
        <v>-44.736190890553907</v>
      </c>
      <c r="F57" s="9">
        <f t="shared" si="13"/>
        <v>228.41380910944608</v>
      </c>
      <c r="G57" s="66">
        <f t="shared" si="0"/>
        <v>-3.8899875204554824</v>
      </c>
      <c r="H57" s="10">
        <f t="shared" si="1"/>
        <v>0.12492262327006526</v>
      </c>
      <c r="I57" s="10">
        <f>$I$32*EXP(-((B57-$B$32)*9.81)/(287*((SUM(C$32:C57)/A57+273.15))))</f>
        <v>184.95086514226986</v>
      </c>
      <c r="J57" s="105">
        <f t="shared" si="5"/>
        <v>9373.4547716823927</v>
      </c>
      <c r="K57">
        <f t="shared" si="14"/>
        <v>4.2040565634336187E-4</v>
      </c>
      <c r="L57" s="9">
        <f t="shared" si="15"/>
        <v>0.42040565634336186</v>
      </c>
      <c r="M57" s="114">
        <f t="shared" si="2"/>
        <v>9.0641049764304018</v>
      </c>
      <c r="N57" s="9"/>
      <c r="O57" s="63">
        <f t="shared" si="10"/>
        <v>8.9553299653104268E-3</v>
      </c>
      <c r="P57" s="113">
        <f t="shared" si="16"/>
        <v>8.9553299653104261</v>
      </c>
      <c r="Q57" s="63">
        <f t="shared" si="6"/>
        <v>8.9553299653104251E-3</v>
      </c>
      <c r="R57" s="67">
        <f t="shared" si="7"/>
        <v>8.9553299653104244</v>
      </c>
      <c r="S57" s="63"/>
      <c r="T57" s="121">
        <f t="shared" si="3"/>
        <v>-44.736190890553907</v>
      </c>
      <c r="U57" s="121"/>
      <c r="V57" s="121">
        <f t="shared" si="4"/>
        <v>184.95086514226986</v>
      </c>
      <c r="W57" s="10"/>
      <c r="X57" s="66">
        <f t="shared" si="8"/>
        <v>1.0121463990206203</v>
      </c>
      <c r="Y57" s="9"/>
      <c r="Z57" s="9"/>
    </row>
    <row r="58" spans="1:26" x14ac:dyDescent="0.25">
      <c r="A58">
        <v>27</v>
      </c>
      <c r="B58">
        <v>13000</v>
      </c>
      <c r="C58" s="10">
        <f t="shared" si="11"/>
        <v>-60</v>
      </c>
      <c r="D58" s="10">
        <f t="shared" si="9"/>
        <v>213.14999999999998</v>
      </c>
      <c r="E58" s="9">
        <f t="shared" si="12"/>
        <v>-49.21385587320912</v>
      </c>
      <c r="F58" s="9">
        <f t="shared" si="13"/>
        <v>223.93614412679085</v>
      </c>
      <c r="G58" s="66">
        <f t="shared" si="0"/>
        <v>-4.3649046243374663</v>
      </c>
      <c r="H58" s="10">
        <f t="shared" si="1"/>
        <v>7.7693952887012085E-2</v>
      </c>
      <c r="I58" s="10">
        <f>$I$32*EXP(-((B58-$B$32)*9.81)/(287*((SUM(C$32:C58)/A58+273.15))))</f>
        <v>171.15959658457797</v>
      </c>
      <c r="J58" s="105">
        <f t="shared" si="5"/>
        <v>9732.4859258660726</v>
      </c>
      <c r="K58">
        <f t="shared" si="14"/>
        <v>2.8247078125941854E-4</v>
      </c>
      <c r="L58" s="9">
        <f t="shared" si="15"/>
        <v>0.28247078125941855</v>
      </c>
      <c r="M58" s="114">
        <f t="shared" si="2"/>
        <v>9.2646539660256373</v>
      </c>
      <c r="N58" s="9"/>
      <c r="O58" s="63">
        <f t="shared" si="10"/>
        <v>9.1821293126416424E-3</v>
      </c>
      <c r="P58" s="113">
        <f t="shared" si="16"/>
        <v>9.1821293126416421</v>
      </c>
      <c r="Q58" s="63">
        <f t="shared" si="6"/>
        <v>9.1821293126416407E-3</v>
      </c>
      <c r="R58" s="67">
        <f t="shared" si="7"/>
        <v>9.1821293126416403</v>
      </c>
      <c r="S58" s="63"/>
      <c r="T58" s="121">
        <f t="shared" si="3"/>
        <v>-49.21385587320912</v>
      </c>
      <c r="U58" s="121"/>
      <c r="V58" s="121">
        <f t="shared" si="4"/>
        <v>171.15959658457797</v>
      </c>
      <c r="W58" s="10"/>
      <c r="X58" s="66">
        <f t="shared" si="8"/>
        <v>1.0089875289896408</v>
      </c>
      <c r="Y58" s="9"/>
      <c r="Z58" s="9"/>
    </row>
    <row r="59" spans="1:26" x14ac:dyDescent="0.25">
      <c r="A59">
        <v>28</v>
      </c>
      <c r="B59">
        <v>13500</v>
      </c>
      <c r="C59" s="10">
        <f t="shared" si="11"/>
        <v>-63.25</v>
      </c>
      <c r="D59" s="10">
        <f t="shared" si="9"/>
        <v>209.89999999999998</v>
      </c>
      <c r="E59" s="9">
        <f t="shared" si="12"/>
        <v>-53.804920529529937</v>
      </c>
      <c r="F59" s="9">
        <f t="shared" si="13"/>
        <v>219.34507947047004</v>
      </c>
      <c r="G59" s="66">
        <f t="shared" si="0"/>
        <v>-4.8719818236544956</v>
      </c>
      <c r="H59" s="10">
        <f t="shared" si="1"/>
        <v>4.6791437585824582E-2</v>
      </c>
      <c r="I59" s="10">
        <f>$I$32*EXP(-((B59-$B$32)*9.81)/(287*((SUM(C$32:C59)/A59+273.15))))</f>
        <v>158.23958417512878</v>
      </c>
      <c r="J59" s="105">
        <f t="shared" si="5"/>
        <v>10090.758331980214</v>
      </c>
      <c r="K59">
        <f t="shared" si="14"/>
        <v>1.8397977350756857E-4</v>
      </c>
      <c r="L59" s="9">
        <f t="shared" si="15"/>
        <v>0.18397977350756856</v>
      </c>
      <c r="M59" s="114">
        <f t="shared" si="2"/>
        <v>9.4198040941095069</v>
      </c>
      <c r="N59" s="9"/>
      <c r="O59" s="63">
        <f t="shared" si="10"/>
        <v>9.3612513199338443E-3</v>
      </c>
      <c r="P59" s="113">
        <f t="shared" si="16"/>
        <v>9.3612513199338441</v>
      </c>
      <c r="Q59" s="63">
        <f t="shared" si="6"/>
        <v>9.3612513199338443E-3</v>
      </c>
      <c r="R59" s="67">
        <f t="shared" si="7"/>
        <v>9.3612513199338441</v>
      </c>
      <c r="S59" s="63"/>
      <c r="T59" s="121">
        <f t="shared" si="3"/>
        <v>-53.804920529529937</v>
      </c>
      <c r="U59" s="121"/>
      <c r="V59" s="121">
        <f t="shared" si="4"/>
        <v>158.23958417512878</v>
      </c>
      <c r="W59" s="10"/>
      <c r="X59" s="66">
        <f t="shared" si="8"/>
        <v>1.0062548020744813</v>
      </c>
      <c r="Y59" s="9"/>
      <c r="Z59" s="9"/>
    </row>
    <row r="60" spans="1:26" x14ac:dyDescent="0.25">
      <c r="A60">
        <v>29</v>
      </c>
      <c r="B60">
        <v>14000</v>
      </c>
      <c r="C60" s="10">
        <f t="shared" si="11"/>
        <v>-66.5</v>
      </c>
      <c r="D60" s="10">
        <f t="shared" si="9"/>
        <v>206.64999999999998</v>
      </c>
      <c r="E60" s="9">
        <f t="shared" si="12"/>
        <v>-58.485546189496858</v>
      </c>
      <c r="F60" s="9">
        <f t="shared" si="13"/>
        <v>214.66445381050312</v>
      </c>
      <c r="G60" s="66">
        <f t="shared" si="0"/>
        <v>-5.4112796170787378</v>
      </c>
      <c r="H60" s="10">
        <f t="shared" si="1"/>
        <v>2.7286782711875835E-2</v>
      </c>
      <c r="I60" s="10">
        <f>$I$32*EXP(-((B60-$B$32)*9.81)/(287*((SUM(C$32:C60)/A60+273.15))))</f>
        <v>146.14692114494656</v>
      </c>
      <c r="J60" s="105">
        <f t="shared" si="5"/>
        <v>10448.234559697723</v>
      </c>
      <c r="K60">
        <f t="shared" si="14"/>
        <v>1.1615399204128697E-4</v>
      </c>
      <c r="L60" s="9">
        <f t="shared" si="15"/>
        <v>0.11615399204128697</v>
      </c>
      <c r="M60" s="114">
        <f t="shared" si="2"/>
        <v>9.534394956883034</v>
      </c>
      <c r="N60" s="9"/>
      <c r="O60" s="63">
        <f t="shared" si="10"/>
        <v>9.4961228934722468E-3</v>
      </c>
      <c r="P60" s="113">
        <f t="shared" si="16"/>
        <v>9.496122893472247</v>
      </c>
      <c r="Q60" s="63">
        <f t="shared" si="6"/>
        <v>9.4961228934722468E-3</v>
      </c>
      <c r="R60" s="67">
        <f t="shared" si="7"/>
        <v>9.496122893472247</v>
      </c>
      <c r="S60" s="63"/>
      <c r="T60" s="121">
        <f t="shared" si="3"/>
        <v>-58.485546189496858</v>
      </c>
      <c r="U60" s="121"/>
      <c r="V60" s="121">
        <f t="shared" si="4"/>
        <v>146.14692114494656</v>
      </c>
      <c r="W60" s="10"/>
      <c r="X60" s="66">
        <f t="shared" si="8"/>
        <v>1.0040302830786969</v>
      </c>
      <c r="Y60" s="9"/>
      <c r="Z60" s="9"/>
    </row>
    <row r="61" spans="1:26" x14ac:dyDescent="0.25">
      <c r="A61">
        <v>30</v>
      </c>
      <c r="B61">
        <v>14500</v>
      </c>
      <c r="C61" s="10">
        <f t="shared" si="11"/>
        <v>-69.75</v>
      </c>
      <c r="D61" s="10">
        <f t="shared" si="9"/>
        <v>203.39999999999998</v>
      </c>
      <c r="E61" s="9">
        <f t="shared" si="12"/>
        <v>-63.233607636232982</v>
      </c>
      <c r="F61" s="9">
        <f t="shared" si="13"/>
        <v>209.91639236376699</v>
      </c>
      <c r="G61" s="66">
        <f t="shared" si="0"/>
        <v>-5.9829196128551887</v>
      </c>
      <c r="H61" s="10">
        <f t="shared" si="1"/>
        <v>1.540608312344572E-2</v>
      </c>
      <c r="I61" s="10">
        <f>$I$32*EXP(-((B61-$B$32)*9.81)/(287*((SUM(C$32:C61)/A61+273.15))))</f>
        <v>134.83924672941995</v>
      </c>
      <c r="J61" s="105">
        <f t="shared" si="5"/>
        <v>10804.876491141024</v>
      </c>
      <c r="K61">
        <f t="shared" si="14"/>
        <v>7.1074845938580406E-5</v>
      </c>
      <c r="L61" s="9">
        <f t="shared" si="15"/>
        <v>7.1074845938580405E-2</v>
      </c>
      <c r="M61" s="114">
        <f t="shared" si="2"/>
        <v>9.6154207030324823</v>
      </c>
      <c r="N61" s="9"/>
      <c r="O61" s="63">
        <f t="shared" si="10"/>
        <v>9.5932015096537957E-3</v>
      </c>
      <c r="P61" s="113">
        <f t="shared" si="16"/>
        <v>9.5932015096537953</v>
      </c>
      <c r="Q61" s="63">
        <f t="shared" si="6"/>
        <v>9.5932015096537957E-3</v>
      </c>
      <c r="R61" s="67">
        <f t="shared" si="7"/>
        <v>9.5932015096537953</v>
      </c>
      <c r="S61" s="63"/>
      <c r="T61" s="121">
        <f t="shared" si="3"/>
        <v>-63.233607636232982</v>
      </c>
      <c r="U61" s="121"/>
      <c r="V61" s="121">
        <f t="shared" si="4"/>
        <v>134.83924672941995</v>
      </c>
      <c r="W61" s="10"/>
      <c r="X61" s="66">
        <f t="shared" si="8"/>
        <v>1.0023161395448983</v>
      </c>
      <c r="Y61" s="9"/>
      <c r="Z61" s="9"/>
    </row>
    <row r="62" spans="1:26" x14ac:dyDescent="0.25">
      <c r="A62">
        <v>31</v>
      </c>
      <c r="B62">
        <v>15000</v>
      </c>
      <c r="C62" s="10">
        <f t="shared" si="11"/>
        <v>-73</v>
      </c>
      <c r="D62" s="10">
        <f t="shared" si="9"/>
        <v>200.14999999999998</v>
      </c>
      <c r="E62" s="9">
        <f t="shared" si="12"/>
        <v>-68.030208391059887</v>
      </c>
      <c r="F62" s="9">
        <f t="shared" si="13"/>
        <v>205.11979160894009</v>
      </c>
      <c r="G62" s="66">
        <f t="shared" si="0"/>
        <v>-6.5872750271756093</v>
      </c>
      <c r="H62" s="10">
        <f t="shared" si="1"/>
        <v>8.4182925708620234E-3</v>
      </c>
      <c r="I62" s="10">
        <f>$I$32*EXP(-((B62-$B$32)*9.81)/(287*((SUM(C$32:C62)/A62+273.15))))</f>
        <v>124.27572400185389</v>
      </c>
      <c r="J62" s="105">
        <f t="shared" si="5"/>
        <v>11160.645314715066</v>
      </c>
      <c r="K62">
        <f t="shared" si="14"/>
        <v>4.2136408681185604E-5</v>
      </c>
      <c r="L62" s="9">
        <f t="shared" si="15"/>
        <v>4.2136408681185601E-2</v>
      </c>
      <c r="M62" s="114">
        <f t="shared" si="2"/>
        <v>9.670422743889695</v>
      </c>
      <c r="N62" s="9"/>
      <c r="O62" s="63">
        <f t="shared" si="10"/>
        <v>9.6601972951232927E-3</v>
      </c>
      <c r="P62" s="113">
        <f t="shared" si="16"/>
        <v>9.6601972951232931</v>
      </c>
      <c r="Q62" s="63">
        <f t="shared" si="6"/>
        <v>9.6601972951232927E-3</v>
      </c>
      <c r="R62" s="67">
        <f t="shared" si="7"/>
        <v>9.6601972951232931</v>
      </c>
      <c r="S62" s="63"/>
      <c r="T62" s="121">
        <f t="shared" si="3"/>
        <v>-68.030208391059887</v>
      </c>
      <c r="U62" s="121"/>
      <c r="V62" s="121">
        <f t="shared" si="4"/>
        <v>124.27572400185389</v>
      </c>
      <c r="W62" s="10"/>
      <c r="X62" s="66">
        <f t="shared" si="8"/>
        <v>1.0010585134499856</v>
      </c>
      <c r="Y62" s="9"/>
      <c r="Z62" s="9"/>
    </row>
    <row r="63" spans="1:26" x14ac:dyDescent="0.25">
      <c r="A63">
        <v>32</v>
      </c>
      <c r="B63">
        <v>15500</v>
      </c>
      <c r="C63" s="10">
        <f t="shared" si="11"/>
        <v>-76.25</v>
      </c>
      <c r="D63" s="10">
        <f t="shared" si="9"/>
        <v>196.89999999999998</v>
      </c>
      <c r="E63" s="9">
        <f t="shared" si="12"/>
        <v>-72.860307038621528</v>
      </c>
      <c r="F63" s="9">
        <f t="shared" si="13"/>
        <v>200.28969296137845</v>
      </c>
      <c r="G63" s="66">
        <f t="shared" si="0"/>
        <v>-7.2251015866929942</v>
      </c>
      <c r="H63" s="10">
        <f t="shared" si="1"/>
        <v>4.4485600770729954E-3</v>
      </c>
      <c r="I63" s="10">
        <f>$I$32*EXP(-((B63-$B$32)*9.81)/(287*((SUM(C$32:C63)/A63+273.15))))</f>
        <v>114.41701679386607</v>
      </c>
      <c r="J63" s="105">
        <f t="shared" si="5"/>
        <v>11515.501519219941</v>
      </c>
      <c r="K63">
        <f t="shared" si="14"/>
        <v>2.4184444162509721E-5</v>
      </c>
      <c r="L63" s="9">
        <f t="shared" si="15"/>
        <v>2.418444416250972E-2</v>
      </c>
      <c r="M63" s="114">
        <f t="shared" si="2"/>
        <v>9.7063471115135194</v>
      </c>
      <c r="N63" s="9"/>
      <c r="O63" s="63">
        <f t="shared" si="10"/>
        <v>9.7046424069994301E-3</v>
      </c>
      <c r="P63" s="113">
        <f t="shared" si="16"/>
        <v>9.7046424069994295</v>
      </c>
      <c r="Q63" s="63">
        <f t="shared" si="6"/>
        <v>9.7046424069994284E-3</v>
      </c>
      <c r="R63" s="67">
        <f t="shared" si="7"/>
        <v>9.7046424069994277</v>
      </c>
      <c r="S63" s="63"/>
      <c r="T63" s="121">
        <f t="shared" si="3"/>
        <v>-72.860307038621528</v>
      </c>
      <c r="U63" s="121"/>
      <c r="V63" s="121">
        <f t="shared" si="4"/>
        <v>114.41701679386607</v>
      </c>
      <c r="W63" s="10"/>
      <c r="X63" s="66">
        <f t="shared" si="8"/>
        <v>1.0001756586634107</v>
      </c>
      <c r="Y63" s="9"/>
      <c r="Z63" s="9"/>
    </row>
    <row r="64" spans="1:26" x14ac:dyDescent="0.25">
      <c r="A64">
        <v>33</v>
      </c>
      <c r="B64">
        <v>16000</v>
      </c>
      <c r="C64" s="10">
        <f t="shared" si="11"/>
        <v>-79.5</v>
      </c>
      <c r="D64" s="10">
        <f t="shared" si="9"/>
        <v>193.64999999999998</v>
      </c>
      <c r="E64" s="9">
        <f t="shared" si="12"/>
        <v>-77.712628242121241</v>
      </c>
      <c r="F64" s="9">
        <f t="shared" si="13"/>
        <v>195.43737175787874</v>
      </c>
      <c r="G64" s="66">
        <f t="shared" si="0"/>
        <v>-7.8976074785631019</v>
      </c>
      <c r="H64" s="10">
        <f t="shared" si="1"/>
        <v>2.2706691635879205E-3</v>
      </c>
      <c r="I64" s="10">
        <f>$I$32*EXP(-((B64-$B$32)*9.81)/(287*((SUM(C$32:C64)/A64+273.15))))</f>
        <v>105.22526573421241</v>
      </c>
      <c r="J64" s="105">
        <f t="shared" si="5"/>
        <v>11869.404888268567</v>
      </c>
      <c r="K64">
        <f t="shared" si="14"/>
        <v>1.3422505402726546E-5</v>
      </c>
      <c r="L64" s="9">
        <f t="shared" si="15"/>
        <v>1.3422505402726546E-2</v>
      </c>
      <c r="M64" s="114">
        <f t="shared" si="2"/>
        <v>9.7289547457871475</v>
      </c>
      <c r="N64" s="9"/>
      <c r="O64" s="63">
        <f t="shared" si="10"/>
        <v>9.7330378084805793E-3</v>
      </c>
      <c r="P64" s="113">
        <f t="shared" si="16"/>
        <v>9.7330378084805798</v>
      </c>
      <c r="Q64" s="63">
        <f t="shared" si="6"/>
        <v>9.7330378084805793E-3</v>
      </c>
      <c r="R64" s="67">
        <f t="shared" si="7"/>
        <v>9.7330378084805798</v>
      </c>
      <c r="S64" s="63"/>
      <c r="T64" s="121">
        <f t="shared" si="3"/>
        <v>-77.712628242121241</v>
      </c>
      <c r="U64" s="121"/>
      <c r="V64" s="121">
        <f t="shared" si="4"/>
        <v>105.22526573421241</v>
      </c>
      <c r="W64" s="10"/>
      <c r="X64" s="66">
        <f t="shared" si="8"/>
        <v>0.99958049452043896</v>
      </c>
      <c r="Y64" s="9"/>
      <c r="Z64" s="9"/>
    </row>
    <row r="65" spans="1:42" x14ac:dyDescent="0.25">
      <c r="A65">
        <v>34</v>
      </c>
      <c r="B65">
        <v>16500</v>
      </c>
      <c r="C65" s="10">
        <f t="shared" si="11"/>
        <v>-82.75</v>
      </c>
      <c r="D65" s="10">
        <f t="shared" si="9"/>
        <v>190.39999999999998</v>
      </c>
      <c r="E65" s="9">
        <f>E64-P64/2</f>
        <v>-82.579147146361535</v>
      </c>
      <c r="F65" s="9">
        <f t="shared" si="13"/>
        <v>190.57085285363843</v>
      </c>
      <c r="G65" s="66">
        <f t="shared" si="0"/>
        <v>-8.6064782831044688</v>
      </c>
      <c r="H65" s="10">
        <f t="shared" si="1"/>
        <v>1.1176226207742399E-3</v>
      </c>
      <c r="I65" s="10">
        <f>$I$32*EXP(-((B65-$B$32)*9.81)/(287*((SUM(C$32:C65)/A65+273.15))))</f>
        <v>96.664063439502684</v>
      </c>
      <c r="J65" s="105">
        <f t="shared" si="5"/>
        <v>12222.314495036588</v>
      </c>
      <c r="K65">
        <f t="shared" si="14"/>
        <v>7.191600299855224E-6</v>
      </c>
      <c r="L65" s="9">
        <f t="shared" si="15"/>
        <v>7.1916002998552242E-3</v>
      </c>
      <c r="M65" s="114">
        <f t="shared" si="2"/>
        <v>9.7590821444194287</v>
      </c>
      <c r="N65" s="9"/>
      <c r="O65" s="63">
        <f t="shared" si="10"/>
        <v>9.7505240367728278E-3</v>
      </c>
      <c r="P65" s="113">
        <f t="shared" si="16"/>
        <v>9.750524036772827</v>
      </c>
      <c r="Q65" s="63">
        <f t="shared" si="6"/>
        <v>9.7505240367728278E-3</v>
      </c>
      <c r="R65" s="67">
        <f t="shared" si="7"/>
        <v>9.750524036772827</v>
      </c>
      <c r="S65" s="63"/>
      <c r="T65" s="121">
        <f t="shared" si="3"/>
        <v>-82.579147146361535</v>
      </c>
      <c r="U65" s="121"/>
      <c r="V65" s="121">
        <f t="shared" si="4"/>
        <v>96.664063439502684</v>
      </c>
      <c r="W65" s="10"/>
      <c r="X65" s="66">
        <f t="shared" si="8"/>
        <v>1.0008777074559609</v>
      </c>
      <c r="Y65" s="9"/>
      <c r="Z65" s="9"/>
    </row>
    <row r="66" spans="1:42" x14ac:dyDescent="0.25">
      <c r="B66" s="41"/>
      <c r="C66" s="58"/>
      <c r="D66" s="58"/>
      <c r="E66" s="55"/>
      <c r="F66" s="41"/>
      <c r="G66" s="58"/>
      <c r="H66" s="59"/>
      <c r="I66" s="60"/>
      <c r="J66" s="60"/>
      <c r="K66" s="59"/>
      <c r="L66" s="60"/>
      <c r="M66" s="61"/>
      <c r="N66" s="41"/>
      <c r="O66" s="57"/>
      <c r="P66" s="57"/>
      <c r="Q66" s="41"/>
      <c r="R66" s="41"/>
      <c r="S66" s="41"/>
      <c r="T66" s="58"/>
      <c r="U66" s="58"/>
      <c r="V66" s="41"/>
      <c r="W66" s="41"/>
      <c r="X66" s="41"/>
      <c r="Y66" s="41"/>
      <c r="Z66" s="41"/>
      <c r="AA66" s="41"/>
      <c r="AB66" s="41"/>
    </row>
    <row r="67" spans="1:42" x14ac:dyDescent="0.25">
      <c r="B67" s="41"/>
      <c r="C67" s="58"/>
      <c r="D67" s="58"/>
      <c r="E67" s="55"/>
      <c r="F67" s="41"/>
      <c r="G67" s="58"/>
      <c r="H67" s="59"/>
      <c r="I67" s="60"/>
      <c r="J67" s="60"/>
      <c r="K67" s="59"/>
      <c r="L67" s="60"/>
      <c r="M67" s="61"/>
      <c r="N67" s="41"/>
      <c r="O67" s="57"/>
      <c r="P67" s="57"/>
      <c r="Q67" s="41"/>
      <c r="R67" s="41"/>
      <c r="S67" s="41"/>
      <c r="T67" s="58"/>
      <c r="U67" s="58"/>
      <c r="V67" s="41"/>
      <c r="W67" s="41"/>
      <c r="X67" s="41"/>
      <c r="Y67" s="41"/>
      <c r="Z67" s="41"/>
      <c r="AA67" s="41"/>
      <c r="AB67" s="41"/>
    </row>
    <row r="68" spans="1:42" s="88" customFormat="1" x14ac:dyDescent="0.25">
      <c r="C68" s="89"/>
      <c r="D68" s="89"/>
      <c r="G68" s="89"/>
      <c r="H68" s="90"/>
      <c r="I68" s="91"/>
      <c r="J68" s="91"/>
      <c r="K68" s="90"/>
      <c r="L68" s="91"/>
      <c r="M68" s="92"/>
      <c r="O68" s="93"/>
      <c r="P68" s="93"/>
      <c r="T68" s="89"/>
      <c r="U68" s="89"/>
    </row>
    <row r="69" spans="1:42" x14ac:dyDescent="0.25">
      <c r="B69" s="41"/>
      <c r="C69" s="58"/>
      <c r="D69" s="58"/>
      <c r="E69" s="55"/>
      <c r="F69" s="41"/>
      <c r="G69" s="58"/>
      <c r="H69" s="59"/>
      <c r="I69" s="60"/>
      <c r="J69" s="60"/>
      <c r="K69" s="59"/>
      <c r="L69" s="60"/>
      <c r="M69" s="61"/>
      <c r="N69" s="41"/>
      <c r="O69" s="57"/>
      <c r="P69" s="57"/>
      <c r="Q69" s="41"/>
      <c r="R69" s="41"/>
      <c r="S69" s="41"/>
      <c r="T69" s="58"/>
      <c r="U69" s="58"/>
      <c r="V69" s="41"/>
      <c r="W69" s="41"/>
      <c r="X69" s="41"/>
      <c r="Y69" s="41"/>
      <c r="Z69" s="41"/>
      <c r="AA69" s="41"/>
      <c r="AB69" s="41"/>
    </row>
    <row r="70" spans="1:42" x14ac:dyDescent="0.25">
      <c r="B70" s="41"/>
      <c r="C70" s="58"/>
      <c r="D70" s="58"/>
      <c r="E70" s="55"/>
      <c r="F70" s="41"/>
      <c r="G70" s="58"/>
      <c r="H70" s="59"/>
      <c r="I70" s="60"/>
      <c r="J70" s="60"/>
      <c r="K70" s="59"/>
      <c r="L70" s="60"/>
      <c r="M70" s="61"/>
      <c r="N70" s="41"/>
      <c r="O70" s="57"/>
      <c r="P70" s="57"/>
      <c r="Q70" s="41"/>
      <c r="R70" s="41"/>
      <c r="S70" s="41"/>
      <c r="T70" s="58"/>
      <c r="U70" s="58"/>
      <c r="V70" s="41"/>
      <c r="W70" s="41"/>
      <c r="X70" s="41"/>
      <c r="Y70" s="41"/>
      <c r="Z70" s="41"/>
      <c r="AA70" s="41"/>
      <c r="AB70" s="41"/>
    </row>
    <row r="71" spans="1:42" ht="28.5" x14ac:dyDescent="0.45">
      <c r="B71" s="116" t="s">
        <v>110</v>
      </c>
      <c r="C71" s="61"/>
      <c r="D71" s="61"/>
      <c r="E71" s="55"/>
      <c r="F71" s="41"/>
      <c r="G71" s="58"/>
      <c r="H71" s="59"/>
      <c r="I71" s="60"/>
      <c r="J71" s="60"/>
      <c r="K71" s="59"/>
      <c r="L71" s="60"/>
      <c r="M71" s="61"/>
      <c r="N71" s="41"/>
      <c r="O71" s="57"/>
      <c r="P71" s="57"/>
      <c r="Q71" s="41"/>
      <c r="R71" s="41"/>
      <c r="S71" s="41"/>
      <c r="T71" s="58"/>
      <c r="U71" s="58"/>
      <c r="V71" s="41"/>
      <c r="W71" s="41"/>
      <c r="X71" s="41"/>
      <c r="Y71" s="41"/>
      <c r="Z71" s="41"/>
      <c r="AA71" s="41"/>
      <c r="AB71" s="41"/>
    </row>
    <row r="72" spans="1:42" x14ac:dyDescent="0.25">
      <c r="B72" s="41" t="s">
        <v>146</v>
      </c>
      <c r="C72" s="155">
        <v>9.76</v>
      </c>
      <c r="D72" s="58"/>
      <c r="E72" s="55"/>
      <c r="F72" s="41"/>
      <c r="G72" s="58"/>
      <c r="H72" s="59"/>
      <c r="I72" s="60"/>
      <c r="J72" s="60"/>
      <c r="K72" s="59"/>
      <c r="L72" s="60"/>
      <c r="M72" s="61"/>
      <c r="N72" s="41"/>
      <c r="O72" s="57"/>
      <c r="P72" s="57"/>
      <c r="Q72" s="41"/>
      <c r="R72" s="41"/>
      <c r="S72" s="41"/>
      <c r="T72" s="58"/>
      <c r="U72" s="58"/>
      <c r="V72" s="41"/>
      <c r="W72" s="41"/>
      <c r="X72" s="41"/>
      <c r="Y72" s="41"/>
      <c r="Z72" s="41"/>
      <c r="AA72" s="41"/>
      <c r="AB72" s="41"/>
    </row>
    <row r="73" spans="1:42" x14ac:dyDescent="0.25">
      <c r="C73" s="10"/>
      <c r="D73" s="13"/>
      <c r="E73" s="55"/>
      <c r="F73" s="41"/>
      <c r="G73" s="58"/>
      <c r="H73" s="59"/>
      <c r="I73" s="60"/>
      <c r="J73" s="60"/>
      <c r="K73" s="59"/>
      <c r="L73" s="60"/>
      <c r="M73" s="61"/>
      <c r="N73" s="41"/>
      <c r="O73" s="57"/>
      <c r="P73" s="57"/>
      <c r="Q73" s="41"/>
      <c r="R73" s="41"/>
      <c r="S73" s="41"/>
      <c r="T73" s="58"/>
      <c r="U73" s="58"/>
      <c r="V73" s="41"/>
      <c r="W73" s="41"/>
      <c r="X73" s="41"/>
      <c r="Y73" s="41"/>
      <c r="Z73" s="41"/>
      <c r="AA73" s="41"/>
      <c r="AB73" s="41"/>
    </row>
    <row r="74" spans="1:42" x14ac:dyDescent="0.25">
      <c r="B74" t="s">
        <v>85</v>
      </c>
      <c r="C74" t="s">
        <v>112</v>
      </c>
      <c r="D74" t="s">
        <v>113</v>
      </c>
      <c r="E74" s="55"/>
      <c r="F74" s="41"/>
      <c r="G74" s="58"/>
      <c r="H74" s="59"/>
      <c r="I74" s="60"/>
      <c r="J74" s="60"/>
      <c r="K74" s="59"/>
      <c r="L74" s="60"/>
      <c r="M74" s="61"/>
      <c r="N74" s="41"/>
      <c r="O74" s="57"/>
      <c r="P74" s="57"/>
      <c r="Q74" s="41"/>
      <c r="R74" s="41"/>
      <c r="S74" s="41"/>
      <c r="T74" s="58"/>
      <c r="U74" s="58"/>
      <c r="V74" s="41"/>
      <c r="W74" s="41"/>
      <c r="X74" s="41"/>
      <c r="Y74" s="41"/>
      <c r="Z74" s="41"/>
      <c r="AA74" s="41"/>
      <c r="AB74" s="41"/>
    </row>
    <row r="75" spans="1:42" x14ac:dyDescent="0.25">
      <c r="B75" s="55">
        <f>'Eingabe Diagramme'!Z115</f>
        <v>28</v>
      </c>
      <c r="C75" s="55">
        <f>'Eingabe Diagramme'!Z117</f>
        <v>1010</v>
      </c>
      <c r="D75" s="102">
        <f>288.15/0.0065*(1-(C75/1013.25)^(1/5.255))</f>
        <v>27.093429476364445</v>
      </c>
      <c r="E75" s="55"/>
      <c r="F75" s="41"/>
      <c r="G75" s="58"/>
      <c r="H75" s="59"/>
      <c r="I75" s="60"/>
      <c r="J75" s="60"/>
      <c r="K75" s="59"/>
      <c r="L75" s="60"/>
      <c r="M75" s="61"/>
      <c r="N75" s="41"/>
      <c r="O75" s="57"/>
      <c r="P75" s="57"/>
      <c r="Q75" s="41"/>
      <c r="R75" s="41"/>
      <c r="S75" s="41"/>
      <c r="T75" s="58"/>
      <c r="U75" s="58"/>
      <c r="V75" s="41"/>
      <c r="W75" s="41"/>
      <c r="X75" s="41"/>
      <c r="Y75" s="41"/>
      <c r="Z75" s="41"/>
      <c r="AA75" s="41"/>
      <c r="AB75" s="41"/>
    </row>
    <row r="76" spans="1:42" x14ac:dyDescent="0.25">
      <c r="B76" s="10">
        <f>$B$75-($C$72/1000)*(D76)</f>
        <v>22.855568128310683</v>
      </c>
      <c r="C76" s="10">
        <f>1013.25*(1-0.0065*D76/288.15)^5.255</f>
        <v>951.52105948711358</v>
      </c>
      <c r="D76" s="13">
        <f>D75+500</f>
        <v>527.09342947636446</v>
      </c>
      <c r="E76" s="55"/>
      <c r="F76" s="41"/>
      <c r="G76" s="58"/>
      <c r="H76" s="59"/>
      <c r="I76" s="60"/>
      <c r="J76" s="60"/>
      <c r="K76" s="59"/>
      <c r="L76" s="60"/>
      <c r="M76" s="61"/>
      <c r="N76" s="41"/>
      <c r="O76" s="57"/>
      <c r="P76" s="57"/>
      <c r="Q76" s="41"/>
      <c r="R76" s="41"/>
      <c r="S76" s="41"/>
      <c r="T76" s="58"/>
      <c r="U76" s="58"/>
      <c r="V76" s="41"/>
      <c r="W76" s="41"/>
      <c r="X76" s="41"/>
      <c r="Y76" s="41"/>
      <c r="Z76" s="41"/>
      <c r="AA76" s="41"/>
      <c r="AB76" s="41"/>
    </row>
    <row r="77" spans="1:42" x14ac:dyDescent="0.25">
      <c r="B77" s="10">
        <f t="shared" ref="B77:B108" si="17">$B$75-($C$72/1000)*(D77)</f>
        <v>17.975568128310684</v>
      </c>
      <c r="C77" s="10">
        <f>1013.25*(1-0.0065*D77/288.15)^5.255</f>
        <v>895.81444432492094</v>
      </c>
      <c r="D77" s="13">
        <f>D76+500</f>
        <v>1027.0934294763645</v>
      </c>
      <c r="E77" s="55"/>
      <c r="F77" s="97"/>
      <c r="G77" s="58"/>
      <c r="H77" s="54"/>
      <c r="I77" s="60"/>
      <c r="J77" s="60"/>
      <c r="K77" s="64"/>
      <c r="L77" s="54"/>
      <c r="M77" s="61"/>
      <c r="N77" s="54"/>
      <c r="O77" s="54"/>
      <c r="P77" s="54"/>
      <c r="Q77" s="41"/>
      <c r="R77" s="54"/>
      <c r="S77" s="54"/>
      <c r="T77" s="54"/>
      <c r="U77" s="54"/>
      <c r="V77" s="100"/>
      <c r="W77" s="100"/>
      <c r="X77" s="100"/>
      <c r="Y77" s="100"/>
      <c r="Z77" s="100"/>
      <c r="AA77" s="41"/>
      <c r="AB77" s="41"/>
      <c r="AF77" s="14"/>
      <c r="AG77" s="14"/>
    </row>
    <row r="78" spans="1:42" x14ac:dyDescent="0.25">
      <c r="B78" s="10">
        <f t="shared" si="17"/>
        <v>13.095568128310683</v>
      </c>
      <c r="C78" s="10">
        <f t="shared" ref="C78:C108" si="18">1013.25*(1-0.0065*D78/288.15)^5.255</f>
        <v>842.77847465649415</v>
      </c>
      <c r="D78" s="13">
        <f t="shared" ref="D78:D108" si="19">D77+500</f>
        <v>1527.0934294763645</v>
      </c>
      <c r="E78" s="55"/>
      <c r="F78" s="41"/>
      <c r="G78" s="58"/>
      <c r="H78" s="59"/>
      <c r="I78" s="60"/>
      <c r="J78" s="60"/>
      <c r="K78" s="59"/>
      <c r="L78" s="60"/>
      <c r="M78" s="61"/>
      <c r="N78" s="41"/>
      <c r="O78" s="57"/>
      <c r="P78" s="57"/>
      <c r="Q78" s="41"/>
      <c r="R78" s="41"/>
      <c r="S78" s="41"/>
      <c r="T78" s="58"/>
      <c r="U78" s="58"/>
      <c r="V78" s="41"/>
      <c r="W78" s="41"/>
      <c r="X78" s="41"/>
      <c r="Y78" s="41"/>
      <c r="Z78" s="41"/>
      <c r="AA78" s="41"/>
      <c r="AB78" s="41"/>
      <c r="AE78" s="107"/>
      <c r="AG78" s="108"/>
    </row>
    <row r="79" spans="1:42" x14ac:dyDescent="0.25">
      <c r="B79" s="10">
        <f t="shared" si="17"/>
        <v>8.2155681283106823</v>
      </c>
      <c r="C79" s="10">
        <f t="shared" si="18"/>
        <v>792.31408382063489</v>
      </c>
      <c r="D79" s="13">
        <f t="shared" si="19"/>
        <v>2027.0934294763645</v>
      </c>
      <c r="E79" s="60"/>
      <c r="F79" s="41"/>
      <c r="G79" s="94"/>
      <c r="H79" s="58"/>
      <c r="I79" s="60"/>
      <c r="J79" s="60"/>
      <c r="K79" s="59"/>
      <c r="L79" s="9"/>
      <c r="M79" s="61"/>
      <c r="N79" s="103"/>
      <c r="O79" s="63"/>
      <c r="P79" s="51"/>
      <c r="Q79" s="41"/>
      <c r="R79" s="63"/>
      <c r="S79" s="67"/>
      <c r="T79" s="58"/>
      <c r="U79" s="101"/>
      <c r="V79" s="84"/>
      <c r="AA79" s="95"/>
      <c r="AB79" s="57"/>
      <c r="AC79" s="13"/>
      <c r="AG79" s="109"/>
      <c r="AJ79" s="110"/>
      <c r="AO79" s="9"/>
      <c r="AP79" s="10"/>
    </row>
    <row r="80" spans="1:42" x14ac:dyDescent="0.25">
      <c r="B80" s="10">
        <f t="shared" si="17"/>
        <v>3.3355681283106833</v>
      </c>
      <c r="C80" s="10">
        <f t="shared" si="18"/>
        <v>744.32478054120963</v>
      </c>
      <c r="D80" s="13">
        <f t="shared" si="19"/>
        <v>2527.0934294763647</v>
      </c>
      <c r="E80" s="60"/>
      <c r="F80" s="98"/>
      <c r="G80" s="94"/>
      <c r="H80" s="58"/>
      <c r="I80" s="60"/>
      <c r="J80" s="60"/>
      <c r="K80" s="59"/>
      <c r="L80" s="9"/>
      <c r="M80" s="61"/>
      <c r="N80" s="103"/>
      <c r="O80" s="63"/>
      <c r="P80" s="51"/>
      <c r="Q80" s="41"/>
      <c r="R80" s="63"/>
      <c r="S80" s="67"/>
      <c r="T80" s="58"/>
      <c r="U80" s="101"/>
      <c r="V80" s="101"/>
      <c r="W80" s="101"/>
      <c r="X80" s="101"/>
      <c r="Y80" s="101"/>
      <c r="Z80" s="101"/>
      <c r="AA80" s="95"/>
      <c r="AB80" s="57"/>
      <c r="AC80" s="13"/>
      <c r="AD80" s="84"/>
      <c r="AF80" s="10"/>
      <c r="AG80" s="109"/>
      <c r="AO80" s="9"/>
      <c r="AP80" s="10"/>
    </row>
    <row r="81" spans="2:42" x14ac:dyDescent="0.25">
      <c r="B81" s="10">
        <f t="shared" si="17"/>
        <v>-1.5444318716893193</v>
      </c>
      <c r="C81" s="10">
        <f t="shared" si="18"/>
        <v>698.71661122895057</v>
      </c>
      <c r="D81" s="13">
        <f t="shared" si="19"/>
        <v>3027.0934294763647</v>
      </c>
      <c r="E81" s="60"/>
      <c r="F81" s="98"/>
      <c r="G81" s="94"/>
      <c r="H81" s="58"/>
      <c r="I81" s="60"/>
      <c r="J81" s="60"/>
      <c r="K81" s="59"/>
      <c r="L81" s="9"/>
      <c r="M81" s="61"/>
      <c r="N81" s="103"/>
      <c r="O81" s="63"/>
      <c r="P81" s="51"/>
      <c r="Q81" s="41"/>
      <c r="R81" s="63"/>
      <c r="S81" s="67"/>
      <c r="T81" s="58"/>
      <c r="U81" s="101"/>
      <c r="V81" s="115"/>
      <c r="W81" s="101"/>
      <c r="X81" s="101"/>
      <c r="Y81" s="101"/>
      <c r="Z81" s="101"/>
      <c r="AA81" s="95"/>
      <c r="AB81" s="111"/>
      <c r="AC81" s="13"/>
      <c r="AD81" s="84"/>
      <c r="AE81" s="106"/>
      <c r="AF81" s="10"/>
      <c r="AG81" s="109"/>
      <c r="AO81" s="9"/>
      <c r="AP81" s="10"/>
    </row>
    <row r="82" spans="2:42" x14ac:dyDescent="0.25">
      <c r="B82" s="10">
        <f t="shared" si="17"/>
        <v>-6.4244318716893147</v>
      </c>
      <c r="C82" s="10">
        <f t="shared" si="18"/>
        <v>655.39812239671562</v>
      </c>
      <c r="D82" s="13">
        <f t="shared" si="19"/>
        <v>3527.0934294763647</v>
      </c>
      <c r="E82" s="60"/>
      <c r="F82" s="98"/>
      <c r="G82" s="94"/>
      <c r="H82" s="58"/>
      <c r="I82" s="60"/>
      <c r="J82" s="60"/>
      <c r="K82" s="59"/>
      <c r="L82" s="9"/>
      <c r="M82" s="61"/>
      <c r="N82" s="103"/>
      <c r="O82" s="63"/>
      <c r="P82" s="51"/>
      <c r="Q82" s="41"/>
      <c r="R82" s="63"/>
      <c r="S82" s="67"/>
      <c r="T82" s="58"/>
      <c r="U82" s="101"/>
      <c r="V82" s="101"/>
      <c r="W82" s="101"/>
      <c r="X82" s="101"/>
      <c r="Y82" s="101"/>
      <c r="Z82" s="101"/>
      <c r="AA82" s="95"/>
      <c r="AB82" s="57"/>
      <c r="AC82" s="13"/>
      <c r="AD82" s="84"/>
      <c r="AE82" s="106"/>
      <c r="AF82" s="10"/>
      <c r="AG82" s="109"/>
      <c r="AO82" s="9"/>
      <c r="AP82" s="10"/>
    </row>
    <row r="83" spans="2:42" x14ac:dyDescent="0.25">
      <c r="B83" s="10">
        <f t="shared" si="17"/>
        <v>-11.304431871689317</v>
      </c>
      <c r="C83" s="10">
        <f t="shared" si="18"/>
        <v>614.28032318920771</v>
      </c>
      <c r="D83" s="13">
        <f t="shared" si="19"/>
        <v>4027.0934294763647</v>
      </c>
      <c r="E83" s="60"/>
      <c r="F83" s="98"/>
      <c r="G83" s="94"/>
      <c r="H83" s="58"/>
      <c r="I83" s="60"/>
      <c r="J83" s="60"/>
      <c r="K83" s="59"/>
      <c r="L83" s="9"/>
      <c r="M83" s="61"/>
      <c r="N83" s="103"/>
      <c r="O83" s="63"/>
      <c r="P83" s="51"/>
      <c r="Q83" s="41"/>
      <c r="R83" s="63"/>
      <c r="S83" s="67"/>
      <c r="T83" s="58"/>
      <c r="U83" s="101"/>
      <c r="V83" s="101"/>
      <c r="W83" s="101"/>
      <c r="X83" s="101"/>
      <c r="Y83" s="101"/>
      <c r="Z83" s="101"/>
      <c r="AA83" s="95"/>
      <c r="AB83" s="57"/>
      <c r="AC83" s="13"/>
      <c r="AD83" s="84"/>
      <c r="AE83" s="106"/>
      <c r="AF83" s="10"/>
      <c r="AG83" s="109"/>
      <c r="AO83" s="9"/>
      <c r="AP83" s="10"/>
    </row>
    <row r="84" spans="2:42" x14ac:dyDescent="0.25">
      <c r="B84" s="10">
        <f t="shared" si="17"/>
        <v>-16.18443187168932</v>
      </c>
      <c r="C84" s="10">
        <f t="shared" si="18"/>
        <v>575.27664802819027</v>
      </c>
      <c r="D84" s="13">
        <f t="shared" si="19"/>
        <v>4527.0934294763647</v>
      </c>
      <c r="E84" s="60"/>
      <c r="F84" s="98"/>
      <c r="G84" s="94"/>
      <c r="H84" s="58"/>
      <c r="I84" s="60"/>
      <c r="J84" s="60"/>
      <c r="K84" s="59"/>
      <c r="L84" s="9"/>
      <c r="M84" s="61"/>
      <c r="N84" s="103"/>
      <c r="O84" s="63"/>
      <c r="P84" s="51"/>
      <c r="Q84" s="41"/>
      <c r="R84" s="63"/>
      <c r="S84" s="67"/>
      <c r="T84" s="58"/>
      <c r="U84" s="101"/>
      <c r="V84" s="101"/>
      <c r="W84" s="101"/>
      <c r="X84" s="101"/>
      <c r="Y84" s="101"/>
      <c r="Z84" s="101"/>
      <c r="AA84" s="95"/>
      <c r="AB84" s="57"/>
      <c r="AC84" s="13"/>
      <c r="AD84" s="84"/>
      <c r="AE84" s="106"/>
      <c r="AF84" s="10"/>
      <c r="AG84" s="109"/>
      <c r="AO84" s="9"/>
      <c r="AP84" s="10"/>
    </row>
    <row r="85" spans="2:42" x14ac:dyDescent="0.25">
      <c r="B85" s="10">
        <f t="shared" si="17"/>
        <v>-21.064431871689315</v>
      </c>
      <c r="C85" s="10">
        <f t="shared" si="18"/>
        <v>538.30291937425432</v>
      </c>
      <c r="D85" s="13">
        <f t="shared" si="19"/>
        <v>5027.0934294763647</v>
      </c>
      <c r="E85" s="60"/>
      <c r="F85" s="98"/>
      <c r="G85" s="94"/>
      <c r="H85" s="58"/>
      <c r="I85" s="60"/>
      <c r="J85" s="60"/>
      <c r="K85" s="59"/>
      <c r="L85" s="9"/>
      <c r="M85" s="61"/>
      <c r="N85" s="103"/>
      <c r="O85" s="63"/>
      <c r="P85" s="51"/>
      <c r="Q85" s="41"/>
      <c r="R85" s="63"/>
      <c r="S85" s="67"/>
      <c r="T85" s="58"/>
      <c r="U85" s="101"/>
      <c r="V85" s="101"/>
      <c r="W85" s="101"/>
      <c r="X85" s="101"/>
      <c r="Y85" s="101"/>
      <c r="Z85" s="101"/>
      <c r="AA85" s="95"/>
      <c r="AB85" s="57"/>
      <c r="AC85" s="13"/>
      <c r="AD85" s="84"/>
      <c r="AE85" s="106"/>
      <c r="AF85" s="10"/>
      <c r="AG85" s="109"/>
      <c r="AO85" s="9"/>
      <c r="AP85" s="10"/>
    </row>
    <row r="86" spans="2:42" x14ac:dyDescent="0.25">
      <c r="B86" s="10">
        <f t="shared" si="17"/>
        <v>-25.944431871689318</v>
      </c>
      <c r="C86" s="10">
        <f t="shared" si="18"/>
        <v>503.2773106062026</v>
      </c>
      <c r="D86" s="13">
        <f t="shared" si="19"/>
        <v>5527.0934294763647</v>
      </c>
      <c r="E86" s="60"/>
      <c r="F86" s="98"/>
      <c r="G86" s="94"/>
      <c r="H86" s="58"/>
      <c r="I86" s="60"/>
      <c r="J86" s="60"/>
      <c r="K86" s="59"/>
      <c r="L86" s="9"/>
      <c r="M86" s="61"/>
      <c r="N86" s="103"/>
      <c r="O86" s="63"/>
      <c r="P86" s="51"/>
      <c r="Q86" s="41"/>
      <c r="R86" s="63"/>
      <c r="S86" s="67"/>
      <c r="T86" s="58"/>
      <c r="U86" s="101"/>
      <c r="V86" s="101"/>
      <c r="W86" s="101"/>
      <c r="X86" s="101"/>
      <c r="Y86" s="101"/>
      <c r="Z86" s="101"/>
      <c r="AA86" s="95"/>
      <c r="AB86" s="57"/>
      <c r="AC86" s="13"/>
      <c r="AD86" s="84"/>
      <c r="AE86" s="106"/>
      <c r="AF86" s="10"/>
      <c r="AG86" s="109"/>
      <c r="AO86" s="9"/>
      <c r="AP86" s="10"/>
    </row>
    <row r="87" spans="2:42" x14ac:dyDescent="0.25">
      <c r="B87" s="10">
        <f t="shared" si="17"/>
        <v>-30.824431871689313</v>
      </c>
      <c r="C87" s="10">
        <f t="shared" si="18"/>
        <v>470.12030901916273</v>
      </c>
      <c r="D87" s="13">
        <f t="shared" si="19"/>
        <v>6027.0934294763647</v>
      </c>
      <c r="E87" s="60"/>
      <c r="F87" s="98"/>
      <c r="G87" s="94"/>
      <c r="H87" s="58"/>
      <c r="I87" s="60"/>
      <c r="J87" s="60"/>
      <c r="K87" s="59"/>
      <c r="L87" s="9"/>
      <c r="M87" s="61"/>
      <c r="N87" s="103"/>
      <c r="O87" s="63"/>
      <c r="P87" s="51"/>
      <c r="Q87" s="41"/>
      <c r="R87" s="63"/>
      <c r="S87" s="67"/>
      <c r="T87" s="58"/>
      <c r="U87" s="101"/>
      <c r="V87" s="101"/>
      <c r="W87" s="101"/>
      <c r="X87" s="101"/>
      <c r="Y87" s="101"/>
      <c r="Z87" s="101"/>
      <c r="AA87" s="95"/>
      <c r="AB87" s="57"/>
      <c r="AC87" s="13"/>
      <c r="AD87" s="84"/>
      <c r="AE87" s="106"/>
      <c r="AF87" s="10"/>
      <c r="AG87" s="109"/>
      <c r="AO87" s="9"/>
      <c r="AP87" s="10"/>
    </row>
    <row r="88" spans="2:42" x14ac:dyDescent="0.25">
      <c r="B88" s="10">
        <f t="shared" si="17"/>
        <v>-35.704431871689316</v>
      </c>
      <c r="C88" s="10">
        <f t="shared" si="18"/>
        <v>438.75467894254149</v>
      </c>
      <c r="D88" s="13">
        <f t="shared" si="19"/>
        <v>6527.0934294763647</v>
      </c>
      <c r="E88" s="60"/>
      <c r="F88" s="98"/>
      <c r="G88" s="94"/>
      <c r="H88" s="58"/>
      <c r="I88" s="60"/>
      <c r="J88" s="60"/>
      <c r="K88" s="59"/>
      <c r="L88" s="9"/>
      <c r="M88" s="61"/>
      <c r="N88" s="103"/>
      <c r="O88" s="63"/>
      <c r="P88" s="51"/>
      <c r="Q88" s="41"/>
      <c r="R88" s="63"/>
      <c r="S88" s="67"/>
      <c r="T88" s="58"/>
      <c r="U88" s="101"/>
      <c r="V88" s="101"/>
      <c r="W88" s="101"/>
      <c r="X88" s="101"/>
      <c r="Y88" s="101"/>
      <c r="Z88" s="101"/>
      <c r="AA88" s="95"/>
      <c r="AB88" s="57"/>
      <c r="AC88" s="13"/>
      <c r="AD88" s="84"/>
      <c r="AE88" s="106"/>
      <c r="AF88" s="10"/>
      <c r="AG88" s="109"/>
      <c r="AO88" s="9"/>
      <c r="AP88" s="10"/>
    </row>
    <row r="89" spans="2:42" x14ac:dyDescent="0.25">
      <c r="B89" s="10">
        <f t="shared" si="17"/>
        <v>-40.584431871689318</v>
      </c>
      <c r="C89" s="10">
        <f t="shared" si="18"/>
        <v>409.10542497897825</v>
      </c>
      <c r="D89" s="13">
        <f t="shared" si="19"/>
        <v>7027.0934294763647</v>
      </c>
      <c r="E89" s="60"/>
      <c r="F89" s="98"/>
      <c r="G89" s="94"/>
      <c r="H89" s="58"/>
      <c r="I89" s="60"/>
      <c r="J89" s="60"/>
      <c r="K89" s="59"/>
      <c r="L89" s="9"/>
      <c r="M89" s="61"/>
      <c r="N89" s="103"/>
      <c r="O89" s="63"/>
      <c r="P89" s="51"/>
      <c r="Q89" s="41"/>
      <c r="R89" s="63"/>
      <c r="S89" s="67"/>
      <c r="T89" s="58"/>
      <c r="U89" s="101"/>
      <c r="V89" s="101"/>
      <c r="W89" s="101"/>
      <c r="X89" s="101"/>
      <c r="Y89" s="101"/>
      <c r="Z89" s="101"/>
      <c r="AA89" s="95"/>
      <c r="AB89" s="57"/>
      <c r="AC89" s="13"/>
      <c r="AD89" s="84"/>
      <c r="AE89" s="106"/>
      <c r="AF89" s="10"/>
      <c r="AG89" s="109"/>
      <c r="AO89" s="9"/>
      <c r="AP89" s="10"/>
    </row>
    <row r="90" spans="2:42" x14ac:dyDescent="0.25">
      <c r="B90" s="10">
        <f t="shared" si="17"/>
        <v>-45.464431871689314</v>
      </c>
      <c r="C90" s="10">
        <f t="shared" si="18"/>
        <v>381.09975536546528</v>
      </c>
      <c r="D90" s="13">
        <f t="shared" si="19"/>
        <v>7527.0934294763647</v>
      </c>
      <c r="E90" s="60"/>
      <c r="F90" s="98"/>
      <c r="G90" s="94"/>
      <c r="H90" s="58"/>
      <c r="I90" s="60"/>
      <c r="J90" s="60"/>
      <c r="K90" s="59"/>
      <c r="L90" s="9"/>
      <c r="M90" s="61"/>
      <c r="N90" s="103"/>
      <c r="O90" s="63"/>
      <c r="P90" s="51"/>
      <c r="Q90" s="41"/>
      <c r="R90" s="63"/>
      <c r="S90" s="67"/>
      <c r="T90" s="58"/>
      <c r="U90" s="101"/>
      <c r="V90" s="101"/>
      <c r="W90" s="101"/>
      <c r="X90" s="101"/>
      <c r="Y90" s="101"/>
      <c r="Z90" s="101"/>
      <c r="AA90" s="95"/>
      <c r="AB90" s="57"/>
      <c r="AC90" s="13"/>
      <c r="AD90" s="84"/>
      <c r="AE90" s="106"/>
      <c r="AF90" s="10"/>
      <c r="AG90" s="109"/>
      <c r="AO90" s="9"/>
      <c r="AP90" s="10"/>
    </row>
    <row r="91" spans="2:42" x14ac:dyDescent="0.25">
      <c r="B91" s="10">
        <f t="shared" si="17"/>
        <v>-50.344431871689309</v>
      </c>
      <c r="C91" s="10">
        <f t="shared" si="18"/>
        <v>354.66704545784069</v>
      </c>
      <c r="D91" s="13">
        <f t="shared" si="19"/>
        <v>8027.0934294763647</v>
      </c>
      <c r="E91" s="60"/>
      <c r="F91" s="98"/>
      <c r="G91" s="94"/>
      <c r="H91" s="58"/>
      <c r="I91" s="60"/>
      <c r="J91" s="60"/>
      <c r="K91" s="59"/>
      <c r="L91" s="9"/>
      <c r="M91" s="61"/>
      <c r="N91" s="103"/>
      <c r="O91" s="63"/>
      <c r="P91" s="51"/>
      <c r="Q91" s="41"/>
      <c r="R91" s="63"/>
      <c r="S91" s="67"/>
      <c r="T91" s="58"/>
      <c r="U91" s="101"/>
      <c r="V91" s="101"/>
      <c r="W91" s="101"/>
      <c r="X91" s="101"/>
      <c r="Y91" s="101"/>
      <c r="Z91" s="101"/>
      <c r="AA91" s="95"/>
      <c r="AB91" s="57"/>
      <c r="AC91" s="13"/>
      <c r="AD91" s="84"/>
      <c r="AE91" s="106"/>
      <c r="AF91" s="10"/>
      <c r="AG91" s="109"/>
      <c r="AO91" s="9"/>
      <c r="AP91" s="10"/>
    </row>
    <row r="92" spans="2:42" x14ac:dyDescent="0.25">
      <c r="B92" s="10">
        <f t="shared" si="17"/>
        <v>-55.224431871689319</v>
      </c>
      <c r="C92" s="10">
        <f t="shared" si="18"/>
        <v>329.73880133988439</v>
      </c>
      <c r="D92" s="13">
        <f t="shared" si="19"/>
        <v>8527.0934294763647</v>
      </c>
      <c r="E92" s="60"/>
      <c r="F92" s="98"/>
      <c r="G92" s="94"/>
      <c r="H92" s="58"/>
      <c r="I92" s="60"/>
      <c r="J92" s="60"/>
      <c r="K92" s="59"/>
      <c r="L92" s="9"/>
      <c r="M92" s="61"/>
      <c r="N92" s="103"/>
      <c r="O92" s="63"/>
      <c r="P92" s="51"/>
      <c r="Q92" s="41"/>
      <c r="R92" s="63"/>
      <c r="S92" s="67"/>
      <c r="T92" s="58"/>
      <c r="U92" s="101"/>
      <c r="V92" s="101"/>
      <c r="W92" s="101"/>
      <c r="X92" s="101"/>
      <c r="Y92" s="101"/>
      <c r="Z92" s="101"/>
      <c r="AA92" s="95"/>
      <c r="AB92" s="57"/>
      <c r="AC92" s="13"/>
      <c r="AD92" s="84"/>
      <c r="AE92" s="106"/>
      <c r="AF92" s="10"/>
      <c r="AG92" s="109"/>
      <c r="AO92" s="9"/>
      <c r="AP92" s="10"/>
    </row>
    <row r="93" spans="2:42" x14ac:dyDescent="0.25">
      <c r="B93" s="10">
        <f t="shared" si="17"/>
        <v>-60.104431871689314</v>
      </c>
      <c r="C93" s="10">
        <f t="shared" si="18"/>
        <v>306.24862355827423</v>
      </c>
      <c r="D93" s="13">
        <f t="shared" si="19"/>
        <v>9027.0934294763647</v>
      </c>
      <c r="E93" s="60"/>
      <c r="F93" s="98"/>
      <c r="G93" s="94"/>
      <c r="H93" s="58"/>
      <c r="I93" s="60"/>
      <c r="J93" s="60"/>
      <c r="K93" s="59"/>
      <c r="L93" s="9"/>
      <c r="M93" s="61"/>
      <c r="N93" s="103"/>
      <c r="O93" s="63"/>
      <c r="P93" s="51"/>
      <c r="Q93" s="41"/>
      <c r="R93" s="63"/>
      <c r="S93" s="67"/>
      <c r="T93" s="58"/>
      <c r="U93" s="101"/>
      <c r="V93" s="101"/>
      <c r="W93" s="101"/>
      <c r="X93" s="101"/>
      <c r="Y93" s="101"/>
      <c r="Z93" s="101"/>
      <c r="AA93" s="95"/>
      <c r="AB93" s="57"/>
      <c r="AC93" s="13"/>
      <c r="AD93" s="84"/>
      <c r="AE93" s="106"/>
      <c r="AF93" s="10"/>
      <c r="AG93" s="109"/>
      <c r="AO93" s="9"/>
      <c r="AP93" s="10"/>
    </row>
    <row r="94" spans="2:42" x14ac:dyDescent="0.25">
      <c r="B94" s="10">
        <f t="shared" si="17"/>
        <v>-64.98443187168931</v>
      </c>
      <c r="C94" s="10">
        <f t="shared" si="18"/>
        <v>284.13217098469096</v>
      </c>
      <c r="D94" s="13">
        <f t="shared" si="19"/>
        <v>9527.0934294763647</v>
      </c>
      <c r="E94" s="60"/>
      <c r="F94" s="98"/>
      <c r="G94" s="94"/>
      <c r="H94" s="58"/>
      <c r="I94" s="60"/>
      <c r="J94" s="60"/>
      <c r="K94" s="59"/>
      <c r="L94" s="9"/>
      <c r="M94" s="61"/>
      <c r="N94" s="103"/>
      <c r="O94" s="63"/>
      <c r="P94" s="51"/>
      <c r="Q94" s="41"/>
      <c r="R94" s="63"/>
      <c r="S94" s="67"/>
      <c r="T94" s="58"/>
      <c r="U94" s="101"/>
      <c r="V94" s="101"/>
      <c r="W94" s="101"/>
      <c r="X94" s="101"/>
      <c r="Y94" s="101"/>
      <c r="Z94" s="101"/>
      <c r="AA94" s="95"/>
      <c r="AB94" s="57"/>
      <c r="AC94" s="13"/>
      <c r="AD94" s="84"/>
      <c r="AE94" s="106"/>
      <c r="AF94" s="10"/>
      <c r="AG94" s="109"/>
      <c r="AO94" s="9"/>
      <c r="AP94" s="10"/>
    </row>
    <row r="95" spans="2:42" x14ac:dyDescent="0.25">
      <c r="B95" s="10">
        <f t="shared" si="17"/>
        <v>-69.86443187168932</v>
      </c>
      <c r="C95" s="10">
        <f t="shared" si="18"/>
        <v>263.3271248063981</v>
      </c>
      <c r="D95" s="13">
        <f t="shared" si="19"/>
        <v>10027.093429476365</v>
      </c>
      <c r="E95" s="60"/>
      <c r="F95" s="98"/>
      <c r="G95" s="94"/>
      <c r="H95" s="58"/>
      <c r="I95" s="60"/>
      <c r="J95" s="60"/>
      <c r="K95" s="59"/>
      <c r="L95" s="9"/>
      <c r="M95" s="61"/>
      <c r="N95" s="103"/>
      <c r="O95" s="63"/>
      <c r="P95" s="51"/>
      <c r="Q95" s="41"/>
      <c r="R95" s="63"/>
      <c r="S95" s="67"/>
      <c r="T95" s="58"/>
      <c r="U95" s="101"/>
      <c r="V95" s="101"/>
      <c r="W95" s="101"/>
      <c r="X95" s="101"/>
      <c r="Y95" s="101"/>
      <c r="Z95" s="101"/>
      <c r="AA95" s="95"/>
      <c r="AB95" s="57"/>
      <c r="AC95" s="13"/>
      <c r="AD95" s="84"/>
      <c r="AE95" s="106"/>
      <c r="AF95" s="10"/>
      <c r="AG95" s="109"/>
      <c r="AO95" s="9"/>
      <c r="AP95" s="10"/>
    </row>
    <row r="96" spans="2:42" x14ac:dyDescent="0.25">
      <c r="B96" s="10">
        <f t="shared" si="17"/>
        <v>-74.744431871689315</v>
      </c>
      <c r="C96" s="10">
        <f t="shared" si="18"/>
        <v>243.77315264664293</v>
      </c>
      <c r="D96" s="13">
        <f t="shared" si="19"/>
        <v>10527.093429476365</v>
      </c>
      <c r="E96" s="60"/>
      <c r="F96" s="98"/>
      <c r="G96" s="94"/>
      <c r="H96" s="58"/>
      <c r="I96" s="60"/>
      <c r="J96" s="60"/>
      <c r="K96" s="59"/>
      <c r="L96" s="9"/>
      <c r="M96" s="61"/>
      <c r="N96" s="103"/>
      <c r="O96" s="63"/>
      <c r="P96" s="51"/>
      <c r="Q96" s="41"/>
      <c r="R96" s="63"/>
      <c r="S96" s="67"/>
      <c r="T96" s="58"/>
      <c r="U96" s="101"/>
      <c r="V96" s="101"/>
      <c r="W96" s="101"/>
      <c r="X96" s="101"/>
      <c r="Y96" s="101"/>
      <c r="Z96" s="101"/>
      <c r="AA96" s="95"/>
      <c r="AB96" s="57"/>
      <c r="AC96" s="13"/>
      <c r="AD96" s="84"/>
      <c r="AE96" s="106"/>
      <c r="AF96" s="10"/>
      <c r="AG96" s="109"/>
      <c r="AO96" s="9"/>
      <c r="AP96" s="10"/>
    </row>
    <row r="97" spans="2:42" x14ac:dyDescent="0.25">
      <c r="B97" s="10">
        <f t="shared" si="17"/>
        <v>-79.62443187168931</v>
      </c>
      <c r="C97" s="10">
        <f t="shared" si="18"/>
        <v>225.41187281627023</v>
      </c>
      <c r="D97" s="13">
        <f t="shared" si="19"/>
        <v>11027.093429476365</v>
      </c>
      <c r="E97" s="60"/>
      <c r="F97" s="98"/>
      <c r="G97" s="94"/>
      <c r="H97" s="58"/>
      <c r="I97" s="60"/>
      <c r="J97" s="60"/>
      <c r="K97" s="59"/>
      <c r="L97" s="9"/>
      <c r="M97" s="61"/>
      <c r="N97" s="103"/>
      <c r="O97" s="63"/>
      <c r="P97" s="51"/>
      <c r="Q97" s="41"/>
      <c r="R97" s="63"/>
      <c r="S97" s="67"/>
      <c r="T97" s="58"/>
      <c r="U97" s="101"/>
      <c r="V97" s="101"/>
      <c r="W97" s="101"/>
      <c r="X97" s="101"/>
      <c r="Y97" s="101"/>
      <c r="Z97" s="101"/>
      <c r="AA97" s="95"/>
      <c r="AB97" s="57"/>
      <c r="AC97" s="13"/>
      <c r="AD97" s="84"/>
      <c r="AE97" s="106"/>
      <c r="AF97" s="10"/>
      <c r="AG97" s="109"/>
      <c r="AO97" s="9"/>
      <c r="AP97" s="10"/>
    </row>
    <row r="98" spans="2:42" x14ac:dyDescent="0.25">
      <c r="B98" s="10">
        <f t="shared" si="17"/>
        <v>-84.50443187168932</v>
      </c>
      <c r="C98" s="10">
        <f t="shared" si="18"/>
        <v>208.18681869797118</v>
      </c>
      <c r="D98" s="13">
        <f t="shared" si="19"/>
        <v>11527.093429476365</v>
      </c>
      <c r="E98" s="60"/>
      <c r="F98" s="98"/>
      <c r="G98" s="94"/>
      <c r="H98" s="58"/>
      <c r="I98" s="60"/>
      <c r="J98" s="60"/>
      <c r="K98" s="59"/>
      <c r="L98" s="9"/>
      <c r="M98" s="61"/>
      <c r="N98" s="103"/>
      <c r="O98" s="63"/>
      <c r="P98" s="51"/>
      <c r="Q98" s="41"/>
      <c r="R98" s="63"/>
      <c r="S98" s="67"/>
      <c r="T98" s="58"/>
      <c r="U98" s="101"/>
      <c r="V98" s="101"/>
      <c r="W98" s="101"/>
      <c r="X98" s="101"/>
      <c r="Y98" s="101"/>
      <c r="Z98" s="101"/>
      <c r="AA98" s="95"/>
      <c r="AB98" s="57"/>
      <c r="AC98" s="13"/>
      <c r="AD98" s="84"/>
      <c r="AE98" s="106"/>
      <c r="AF98" s="10"/>
      <c r="AG98" s="109"/>
      <c r="AO98" s="9"/>
      <c r="AP98" s="10"/>
    </row>
    <row r="99" spans="2:42" x14ac:dyDescent="0.25">
      <c r="B99" s="10">
        <f t="shared" si="17"/>
        <v>-89.384431871689316</v>
      </c>
      <c r="C99" s="10">
        <f t="shared" si="18"/>
        <v>192.04340326462423</v>
      </c>
      <c r="D99" s="13">
        <f t="shared" si="19"/>
        <v>12027.093429476365</v>
      </c>
      <c r="E99" s="60"/>
      <c r="F99" s="98"/>
      <c r="G99" s="94"/>
      <c r="H99" s="58"/>
      <c r="I99" s="60"/>
      <c r="J99" s="60"/>
      <c r="K99" s="59"/>
      <c r="L99" s="9"/>
      <c r="M99" s="61"/>
      <c r="N99" s="103"/>
      <c r="O99" s="63"/>
      <c r="P99" s="51"/>
      <c r="Q99" s="41"/>
      <c r="R99" s="63"/>
      <c r="S99" s="67"/>
      <c r="T99" s="58"/>
      <c r="U99" s="101"/>
      <c r="V99" s="101"/>
      <c r="W99" s="101"/>
      <c r="X99" s="101"/>
      <c r="Y99" s="101"/>
      <c r="Z99" s="101"/>
      <c r="AA99" s="95"/>
      <c r="AB99" s="57"/>
      <c r="AC99" s="13"/>
      <c r="AD99" s="84"/>
      <c r="AE99" s="106"/>
      <c r="AF99" s="10"/>
      <c r="AG99" s="109"/>
      <c r="AO99" s="9"/>
      <c r="AP99" s="10"/>
    </row>
    <row r="100" spans="2:42" x14ac:dyDescent="0.25">
      <c r="B100" s="10">
        <f t="shared" si="17"/>
        <v>-94.264431871689311</v>
      </c>
      <c r="C100" s="10">
        <f t="shared" si="18"/>
        <v>176.92888373322654</v>
      </c>
      <c r="D100" s="13">
        <f t="shared" si="19"/>
        <v>12527.093429476365</v>
      </c>
      <c r="E100" s="60"/>
      <c r="F100" s="98"/>
      <c r="G100" s="94"/>
      <c r="H100" s="58"/>
      <c r="I100" s="60"/>
      <c r="J100" s="60"/>
      <c r="K100" s="59"/>
      <c r="L100" s="9"/>
      <c r="M100" s="61"/>
      <c r="N100" s="103"/>
      <c r="O100" s="63"/>
      <c r="P100" s="51"/>
      <c r="Q100" s="41"/>
      <c r="R100" s="63"/>
      <c r="S100" s="67"/>
      <c r="T100" s="58"/>
      <c r="U100" s="101"/>
      <c r="V100" s="101"/>
      <c r="W100" s="101"/>
      <c r="X100" s="101"/>
      <c r="Y100" s="101"/>
      <c r="Z100" s="101"/>
      <c r="AA100" s="95"/>
      <c r="AB100" s="57"/>
      <c r="AC100" s="13"/>
      <c r="AD100" s="84"/>
      <c r="AE100" s="106"/>
      <c r="AF100" s="10"/>
      <c r="AG100" s="109"/>
      <c r="AO100" s="9"/>
      <c r="AP100" s="10"/>
    </row>
    <row r="101" spans="2:42" x14ac:dyDescent="0.25">
      <c r="B101" s="10">
        <f t="shared" si="17"/>
        <v>-99.144431871689321</v>
      </c>
      <c r="C101" s="10">
        <f t="shared" si="18"/>
        <v>162.79232635595437</v>
      </c>
      <c r="D101" s="13">
        <f t="shared" si="19"/>
        <v>13027.093429476365</v>
      </c>
      <c r="E101" s="60"/>
      <c r="F101" s="98"/>
      <c r="G101" s="94"/>
      <c r="H101" s="58"/>
      <c r="I101" s="60"/>
      <c r="J101" s="60"/>
      <c r="K101" s="59"/>
      <c r="L101" s="9"/>
      <c r="M101" s="61"/>
      <c r="N101" s="103"/>
      <c r="O101" s="63"/>
      <c r="P101" s="51"/>
      <c r="Q101" s="41"/>
      <c r="R101" s="63"/>
      <c r="S101" s="67"/>
      <c r="T101" s="58"/>
      <c r="U101" s="101"/>
      <c r="V101" s="101"/>
      <c r="W101" s="101"/>
      <c r="X101" s="101"/>
      <c r="Y101" s="101"/>
      <c r="Z101" s="101"/>
      <c r="AA101" s="95"/>
      <c r="AB101" s="57"/>
      <c r="AC101" s="13"/>
      <c r="AD101" s="84"/>
      <c r="AE101" s="106"/>
      <c r="AF101" s="10"/>
      <c r="AG101" s="109"/>
      <c r="AO101" s="9"/>
      <c r="AP101" s="10"/>
    </row>
    <row r="102" spans="2:42" x14ac:dyDescent="0.25">
      <c r="B102" s="10">
        <f t="shared" si="17"/>
        <v>-104.0244318716893</v>
      </c>
      <c r="C102" s="10">
        <f t="shared" si="18"/>
        <v>149.58457134992784</v>
      </c>
      <c r="D102" s="13">
        <f t="shared" si="19"/>
        <v>13527.093429476365</v>
      </c>
      <c r="E102" s="60"/>
      <c r="F102" s="98"/>
      <c r="G102" s="94"/>
      <c r="H102" s="58"/>
      <c r="I102" s="60"/>
      <c r="J102" s="60"/>
      <c r="K102" s="59"/>
      <c r="L102" s="9"/>
      <c r="M102" s="61"/>
      <c r="N102" s="103"/>
      <c r="O102" s="63"/>
      <c r="P102" s="51"/>
      <c r="Q102" s="41"/>
      <c r="R102" s="63"/>
      <c r="S102" s="67"/>
      <c r="T102" s="58"/>
      <c r="U102" s="101"/>
      <c r="V102" s="101"/>
      <c r="W102" s="101"/>
      <c r="X102" s="101"/>
      <c r="Y102" s="101"/>
      <c r="Z102" s="101"/>
      <c r="AA102" s="95"/>
      <c r="AB102" s="57"/>
      <c r="AC102" s="13"/>
      <c r="AD102" s="84"/>
      <c r="AE102" s="106"/>
      <c r="AF102" s="10"/>
      <c r="AG102" s="109"/>
      <c r="AO102" s="9"/>
      <c r="AP102" s="10"/>
    </row>
    <row r="103" spans="2:42" x14ac:dyDescent="0.25">
      <c r="B103" s="10">
        <f t="shared" si="17"/>
        <v>-108.90443187168933</v>
      </c>
      <c r="C103" s="10">
        <f t="shared" si="18"/>
        <v>137.25819796730417</v>
      </c>
      <c r="D103" s="13">
        <f t="shared" si="19"/>
        <v>14027.093429476365</v>
      </c>
      <c r="E103" s="60"/>
      <c r="F103" s="98"/>
      <c r="G103" s="94"/>
      <c r="H103" s="58"/>
      <c r="I103" s="60"/>
      <c r="J103" s="60"/>
      <c r="K103" s="59"/>
      <c r="L103" s="9"/>
      <c r="M103" s="61"/>
      <c r="N103" s="103"/>
      <c r="O103" s="63"/>
      <c r="P103" s="51"/>
      <c r="Q103" s="41"/>
      <c r="R103" s="63"/>
      <c r="S103" s="67"/>
      <c r="T103" s="58"/>
      <c r="U103" s="101"/>
      <c r="V103" s="101"/>
      <c r="W103" s="101"/>
      <c r="X103" s="101"/>
      <c r="Y103" s="101"/>
      <c r="Z103" s="101"/>
      <c r="AA103" s="95"/>
      <c r="AB103" s="57"/>
      <c r="AC103" s="13"/>
      <c r="AD103" s="84"/>
      <c r="AE103" s="106"/>
      <c r="AF103" s="10"/>
      <c r="AG103" s="109"/>
      <c r="AO103" s="9"/>
      <c r="AP103" s="10"/>
    </row>
    <row r="104" spans="2:42" x14ac:dyDescent="0.25">
      <c r="B104" s="10">
        <f t="shared" si="17"/>
        <v>-113.78443187168932</v>
      </c>
      <c r="C104" s="10">
        <f t="shared" si="18"/>
        <v>125.76748970736524</v>
      </c>
      <c r="D104" s="13">
        <f t="shared" si="19"/>
        <v>14527.093429476365</v>
      </c>
      <c r="E104" s="60"/>
      <c r="F104" s="98"/>
      <c r="G104" s="94"/>
      <c r="H104" s="58"/>
      <c r="I104" s="60"/>
      <c r="J104" s="60"/>
      <c r="K104" s="59"/>
      <c r="L104" s="9"/>
      <c r="M104" s="61"/>
      <c r="N104" s="103"/>
      <c r="O104" s="63"/>
      <c r="P104" s="51"/>
      <c r="Q104" s="41"/>
      <c r="R104" s="63"/>
      <c r="S104" s="67"/>
      <c r="T104" s="58"/>
      <c r="U104" s="101"/>
      <c r="V104" s="101"/>
      <c r="W104" s="101"/>
      <c r="X104" s="101"/>
      <c r="Y104" s="101"/>
      <c r="Z104" s="101"/>
      <c r="AA104" s="95"/>
      <c r="AB104" s="57"/>
      <c r="AC104" s="13"/>
      <c r="AD104" s="84"/>
      <c r="AE104" s="106"/>
      <c r="AF104" s="10"/>
      <c r="AG104" s="109"/>
      <c r="AO104" s="9"/>
      <c r="AP104" s="10"/>
    </row>
    <row r="105" spans="2:42" x14ac:dyDescent="0.25">
      <c r="B105" s="10">
        <f t="shared" si="17"/>
        <v>-118.66443187168932</v>
      </c>
      <c r="C105" s="10">
        <f t="shared" si="18"/>
        <v>115.0683996723147</v>
      </c>
      <c r="D105" s="13">
        <f t="shared" si="19"/>
        <v>15027.093429476365</v>
      </c>
      <c r="E105" s="60"/>
      <c r="F105" s="98"/>
      <c r="G105" s="94"/>
      <c r="H105" s="58"/>
      <c r="I105" s="60"/>
      <c r="J105" s="60"/>
      <c r="K105" s="59"/>
      <c r="L105" s="9"/>
      <c r="M105" s="61"/>
      <c r="N105" s="103"/>
      <c r="O105" s="63"/>
      <c r="P105" s="51"/>
      <c r="Q105" s="41"/>
      <c r="R105" s="63"/>
      <c r="S105" s="67"/>
      <c r="T105" s="58"/>
      <c r="U105" s="101"/>
      <c r="V105" s="101"/>
      <c r="W105" s="101"/>
      <c r="X105" s="101"/>
      <c r="Y105" s="101"/>
      <c r="Z105" s="101"/>
      <c r="AA105" s="95"/>
      <c r="AB105" s="57"/>
      <c r="AC105" s="13"/>
      <c r="AD105" s="84"/>
      <c r="AE105" s="106"/>
      <c r="AF105" s="10"/>
      <c r="AG105" s="109"/>
      <c r="AI105" s="10"/>
      <c r="AO105" s="9"/>
      <c r="AP105" s="10"/>
    </row>
    <row r="106" spans="2:42" x14ac:dyDescent="0.25">
      <c r="B106" s="10">
        <f t="shared" si="17"/>
        <v>-123.54443187168931</v>
      </c>
      <c r="C106" s="10">
        <f t="shared" si="18"/>
        <v>105.11851606854471</v>
      </c>
      <c r="D106" s="13">
        <f t="shared" si="19"/>
        <v>15527.093429476365</v>
      </c>
      <c r="E106" s="60"/>
      <c r="F106" s="98"/>
      <c r="G106" s="94"/>
      <c r="H106" s="58"/>
      <c r="I106" s="60"/>
      <c r="J106" s="60"/>
      <c r="K106" s="59"/>
      <c r="L106" s="9"/>
      <c r="M106" s="61"/>
      <c r="N106" s="103"/>
      <c r="O106" s="63"/>
      <c r="P106" s="51"/>
      <c r="Q106" s="41"/>
      <c r="R106" s="63"/>
      <c r="S106" s="67"/>
      <c r="T106" s="58"/>
      <c r="U106" s="101"/>
      <c r="V106" s="101"/>
      <c r="W106" s="101"/>
      <c r="X106" s="101"/>
      <c r="Y106" s="101"/>
      <c r="Z106" s="101"/>
      <c r="AA106" s="95"/>
      <c r="AB106" s="57"/>
      <c r="AC106" s="13"/>
      <c r="AD106" s="84"/>
      <c r="AE106" s="106"/>
      <c r="AF106" s="10"/>
      <c r="AG106" s="109"/>
      <c r="AO106" s="9"/>
      <c r="AP106" s="10"/>
    </row>
    <row r="107" spans="2:42" x14ac:dyDescent="0.25">
      <c r="B107" s="10">
        <f t="shared" si="17"/>
        <v>-128.42443187168931</v>
      </c>
      <c r="C107" s="10">
        <f t="shared" si="18"/>
        <v>95.877027855191031</v>
      </c>
      <c r="D107" s="13">
        <f t="shared" si="19"/>
        <v>16027.093429476365</v>
      </c>
      <c r="E107" s="60"/>
      <c r="F107" s="98"/>
      <c r="G107" s="94"/>
      <c r="H107" s="58"/>
      <c r="I107" s="60"/>
      <c r="J107" s="60"/>
      <c r="K107" s="59"/>
      <c r="L107" s="9"/>
      <c r="M107" s="61"/>
      <c r="N107" s="103"/>
      <c r="O107" s="63"/>
      <c r="P107" s="51"/>
      <c r="Q107" s="41"/>
      <c r="R107" s="63"/>
      <c r="S107" s="67"/>
      <c r="T107" s="58"/>
      <c r="U107" s="101"/>
      <c r="V107" s="101"/>
      <c r="W107" s="101"/>
      <c r="X107" s="101"/>
      <c r="Y107" s="101"/>
      <c r="Z107" s="101"/>
      <c r="AA107" s="95"/>
      <c r="AB107" s="57"/>
      <c r="AC107" s="13"/>
      <c r="AD107" s="84"/>
      <c r="AE107" s="106"/>
      <c r="AF107" s="10"/>
      <c r="AG107" s="109"/>
      <c r="AO107" s="9"/>
      <c r="AP107" s="10"/>
    </row>
    <row r="108" spans="2:42" x14ac:dyDescent="0.25">
      <c r="B108" s="10">
        <f t="shared" si="17"/>
        <v>-133.3044318716893</v>
      </c>
      <c r="C108" s="10">
        <f t="shared" si="18"/>
        <v>87.304690541842717</v>
      </c>
      <c r="D108" s="13">
        <f t="shared" si="19"/>
        <v>16527.093429476365</v>
      </c>
      <c r="E108" s="60"/>
      <c r="F108" s="98"/>
      <c r="G108" s="94"/>
      <c r="H108" s="58"/>
      <c r="I108" s="60"/>
      <c r="J108" s="60"/>
      <c r="K108" s="59"/>
      <c r="L108" s="9"/>
      <c r="M108" s="61"/>
      <c r="N108" s="103"/>
      <c r="O108" s="63"/>
      <c r="P108" s="51"/>
      <c r="Q108" s="41"/>
      <c r="R108" s="63"/>
      <c r="S108" s="67"/>
      <c r="T108" s="58"/>
      <c r="U108" s="101"/>
      <c r="V108" s="101"/>
      <c r="W108" s="101"/>
      <c r="X108" s="101"/>
      <c r="Y108" s="101"/>
      <c r="Z108" s="101"/>
      <c r="AA108" s="95"/>
      <c r="AB108" s="57"/>
      <c r="AC108" s="13"/>
      <c r="AD108" s="84"/>
      <c r="AE108" s="106"/>
      <c r="AF108" s="10"/>
      <c r="AG108" s="109"/>
      <c r="AO108" s="9"/>
      <c r="AP108" s="10"/>
    </row>
    <row r="109" spans="2:42" x14ac:dyDescent="0.25">
      <c r="B109" s="57"/>
      <c r="C109" s="57"/>
      <c r="D109" s="96"/>
      <c r="E109" s="60"/>
      <c r="F109" s="98"/>
      <c r="G109" s="94"/>
      <c r="H109" s="58"/>
      <c r="I109" s="60"/>
      <c r="J109" s="60"/>
      <c r="K109" s="59"/>
      <c r="L109" s="9"/>
      <c r="M109" s="61"/>
      <c r="N109" s="103"/>
      <c r="O109" s="63"/>
      <c r="P109" s="51"/>
      <c r="Q109" s="41"/>
      <c r="R109" s="63"/>
      <c r="S109" s="67"/>
      <c r="T109" s="58"/>
      <c r="U109" s="101"/>
      <c r="V109" s="101"/>
      <c r="W109" s="101"/>
      <c r="X109" s="101"/>
      <c r="Y109" s="101"/>
      <c r="Z109" s="101"/>
      <c r="AA109" s="95"/>
      <c r="AB109" s="57"/>
      <c r="AC109" s="13"/>
      <c r="AD109" s="84"/>
      <c r="AE109" s="106"/>
      <c r="AF109" s="10"/>
      <c r="AG109" s="109"/>
      <c r="AO109" s="9"/>
      <c r="AP109" s="10"/>
    </row>
    <row r="110" spans="2:42" x14ac:dyDescent="0.25">
      <c r="B110" s="57"/>
      <c r="C110" s="57"/>
      <c r="D110" s="96"/>
      <c r="E110" s="60"/>
      <c r="F110" s="98"/>
      <c r="G110" s="94"/>
      <c r="H110" s="58"/>
      <c r="I110" s="60"/>
      <c r="J110" s="60"/>
      <c r="K110" s="59"/>
      <c r="L110" s="9"/>
      <c r="M110" s="61"/>
      <c r="N110" s="103"/>
      <c r="O110" s="63"/>
      <c r="P110" s="51"/>
      <c r="Q110" s="41"/>
      <c r="R110" s="63"/>
      <c r="S110" s="67"/>
      <c r="T110" s="58"/>
      <c r="U110" s="101"/>
      <c r="V110" s="101"/>
      <c r="W110" s="101"/>
      <c r="X110" s="101"/>
      <c r="Y110" s="101"/>
      <c r="Z110" s="101"/>
      <c r="AA110" s="95"/>
      <c r="AB110" s="57"/>
      <c r="AC110" s="13"/>
      <c r="AD110" s="84"/>
      <c r="AE110" s="106"/>
      <c r="AF110" s="10"/>
      <c r="AG110" s="109"/>
      <c r="AO110" s="9"/>
      <c r="AP110" s="10"/>
    </row>
    <row r="111" spans="2:42" x14ac:dyDescent="0.25">
      <c r="B111" s="57"/>
      <c r="C111" s="57"/>
      <c r="D111" s="96"/>
      <c r="E111" s="60"/>
      <c r="F111" s="98"/>
      <c r="G111" s="94"/>
      <c r="H111" s="58"/>
      <c r="I111" s="60"/>
      <c r="J111" s="60"/>
      <c r="K111" s="59"/>
      <c r="L111" s="9"/>
      <c r="M111" s="61"/>
      <c r="N111" s="103"/>
      <c r="O111" s="63"/>
      <c r="P111" s="51"/>
      <c r="Q111" s="41"/>
      <c r="R111" s="63"/>
      <c r="S111" s="67"/>
      <c r="T111" s="58"/>
      <c r="U111" s="101"/>
      <c r="V111" s="101"/>
      <c r="W111" s="101"/>
      <c r="X111" s="101"/>
      <c r="Y111" s="101"/>
      <c r="Z111" s="101"/>
      <c r="AA111" s="95"/>
      <c r="AB111" s="57"/>
      <c r="AC111" s="13"/>
      <c r="AD111" s="84"/>
      <c r="AE111" s="106"/>
      <c r="AF111" s="10"/>
      <c r="AG111" s="109"/>
      <c r="AO111" s="9"/>
      <c r="AP111" s="10"/>
    </row>
    <row r="112" spans="2:42" x14ac:dyDescent="0.25">
      <c r="B112" s="57"/>
      <c r="C112" s="57"/>
      <c r="D112" s="96"/>
      <c r="E112" s="60"/>
      <c r="F112" s="98"/>
      <c r="G112" s="94"/>
      <c r="H112" s="58"/>
      <c r="I112" s="60"/>
      <c r="J112" s="60"/>
      <c r="K112" s="59"/>
      <c r="L112" s="9"/>
      <c r="M112" s="61"/>
      <c r="N112" s="103"/>
      <c r="O112" s="63"/>
      <c r="P112" s="51"/>
      <c r="Q112" s="41"/>
      <c r="R112" s="63"/>
      <c r="S112" s="67"/>
      <c r="T112" s="58"/>
      <c r="U112" s="101"/>
      <c r="V112" s="101"/>
      <c r="W112" s="101"/>
      <c r="X112" s="101"/>
      <c r="Y112" s="101"/>
      <c r="Z112" s="101"/>
      <c r="AA112" s="95"/>
      <c r="AB112" s="57"/>
      <c r="AC112" s="13"/>
      <c r="AD112" s="84"/>
      <c r="AE112" s="106"/>
      <c r="AF112" s="10"/>
      <c r="AG112" s="109"/>
      <c r="AO112" s="9"/>
      <c r="AP112" s="10"/>
    </row>
    <row r="113" spans="2:42" s="132" customFormat="1" x14ac:dyDescent="0.25">
      <c r="B113" s="122"/>
      <c r="C113" s="122"/>
      <c r="D113" s="123"/>
      <c r="E113" s="124"/>
      <c r="F113" s="125"/>
      <c r="G113" s="126"/>
      <c r="H113" s="127"/>
      <c r="I113" s="124"/>
      <c r="J113" s="124"/>
      <c r="K113" s="128"/>
      <c r="L113" s="129"/>
      <c r="M113" s="130"/>
      <c r="N113" s="131"/>
      <c r="O113" s="131"/>
      <c r="P113" s="124"/>
      <c r="R113" s="131"/>
      <c r="S113" s="133"/>
      <c r="T113" s="127"/>
      <c r="U113" s="134"/>
      <c r="V113" s="134"/>
      <c r="W113" s="134"/>
      <c r="X113" s="134"/>
      <c r="Y113" s="134"/>
      <c r="Z113" s="134"/>
      <c r="AA113" s="129"/>
      <c r="AB113" s="122"/>
      <c r="AC113" s="122"/>
      <c r="AD113" s="135"/>
      <c r="AE113" s="136"/>
      <c r="AF113" s="127"/>
      <c r="AG113" s="137"/>
      <c r="AO113" s="129"/>
      <c r="AP113" s="127"/>
    </row>
    <row r="114" spans="2:42" s="41" customFormat="1" ht="120.75" x14ac:dyDescent="0.25">
      <c r="B114" s="57"/>
      <c r="C114" s="57"/>
      <c r="D114" s="96"/>
      <c r="E114" s="60"/>
      <c r="O114" s="98"/>
      <c r="P114" s="54" t="s">
        <v>95</v>
      </c>
      <c r="Q114" s="58" t="s">
        <v>0</v>
      </c>
      <c r="R114" s="120" t="s">
        <v>97</v>
      </c>
      <c r="S114" s="59"/>
      <c r="T114" s="95"/>
      <c r="U114" s="147" t="s">
        <v>151</v>
      </c>
      <c r="V114" s="103" t="s">
        <v>150</v>
      </c>
      <c r="W114" s="103"/>
      <c r="X114" s="60"/>
      <c r="Z114" s="103"/>
      <c r="AA114" s="141"/>
      <c r="AB114" s="58"/>
      <c r="AC114" s="57"/>
      <c r="AD114" s="115"/>
      <c r="AE114" s="143"/>
      <c r="AF114" s="58"/>
      <c r="AG114" s="144"/>
      <c r="AO114" s="95"/>
      <c r="AP114" s="58"/>
    </row>
    <row r="115" spans="2:42" s="41" customFormat="1" x14ac:dyDescent="0.25">
      <c r="B115" s="139">
        <v>900</v>
      </c>
      <c r="C115" s="57"/>
      <c r="D115" s="140">
        <v>10</v>
      </c>
      <c r="E115" s="10">
        <f>D115+273.15</f>
        <v>283.14999999999998</v>
      </c>
      <c r="O115" s="66">
        <f>$H$8/$H$9*(1/273.15-1/E115)</f>
        <v>0.70144721544050015</v>
      </c>
      <c r="P115" s="10">
        <f>$H$10^O115*6.11</f>
        <v>12.321848514465122</v>
      </c>
      <c r="Q115" s="145">
        <f>B115</f>
        <v>900</v>
      </c>
      <c r="R115">
        <f>(0.622*P115)/(Q115-P115)</f>
        <v>8.6339736571991073E-3</v>
      </c>
      <c r="S115" s="9">
        <f>R115*1000</f>
        <v>8.6339736571991068</v>
      </c>
      <c r="T115" s="114">
        <f>$H$17/(1+$H$22/$H$20*((R115-Q116)/(E115-E116)))</f>
        <v>9.070666082401285</v>
      </c>
      <c r="U115" s="63">
        <f>$H$19*((1+($H$22*R115)/($H$23*E115)))/(($H$20+($H$22^2*R115*$H$24)/($H$23*E115^2)))</f>
        <v>5.0393152412326701E-3</v>
      </c>
      <c r="V115" s="113">
        <f>U115*1000</f>
        <v>5.0393152412326705</v>
      </c>
      <c r="W115" s="63">
        <f>$H$19*(($H$23*E115^2+$H$22*R115*E115)/(H$20*$H$23*E115^2+$H$22^2*R115*$H$24))</f>
        <v>5.0393152412326709E-3</v>
      </c>
      <c r="X115" s="67">
        <f>W115*1000</f>
        <v>5.0393152412326705</v>
      </c>
      <c r="Y115" s="63"/>
      <c r="Z115" s="121">
        <f>D115</f>
        <v>10</v>
      </c>
      <c r="AA115" s="121"/>
      <c r="AB115" s="121">
        <f>Q115</f>
        <v>900</v>
      </c>
      <c r="AC115" s="57"/>
      <c r="AD115" s="115"/>
      <c r="AE115" s="143"/>
      <c r="AF115" s="58"/>
      <c r="AG115" s="144"/>
      <c r="AO115" s="95"/>
      <c r="AP115" s="58"/>
    </row>
    <row r="116" spans="2:42" s="41" customFormat="1" x14ac:dyDescent="0.25">
      <c r="B116" s="57"/>
      <c r="C116" s="57"/>
      <c r="D116" s="96"/>
      <c r="E116" s="60"/>
      <c r="F116" s="98"/>
      <c r="G116" s="94"/>
      <c r="O116" s="58"/>
      <c r="P116" s="60"/>
      <c r="Q116" s="60"/>
      <c r="R116" s="95"/>
      <c r="S116" s="61"/>
      <c r="T116" s="103"/>
      <c r="U116" s="103"/>
      <c r="V116" s="60"/>
      <c r="X116" s="103"/>
      <c r="Y116" s="141"/>
      <c r="Z116" s="58"/>
      <c r="AA116" s="142"/>
      <c r="AB116" s="142"/>
      <c r="AC116" s="57"/>
      <c r="AD116" s="115"/>
      <c r="AE116" s="143"/>
      <c r="AF116" s="58"/>
      <c r="AG116" s="144"/>
      <c r="AO116" s="95"/>
      <c r="AP116" s="58"/>
    </row>
    <row r="117" spans="2:42" s="41" customFormat="1" x14ac:dyDescent="0.25">
      <c r="C117" s="57"/>
      <c r="E117" s="60"/>
      <c r="F117" s="98"/>
      <c r="G117" s="94"/>
      <c r="O117" s="58"/>
      <c r="P117" s="60"/>
      <c r="Q117" s="60"/>
      <c r="R117" s="95"/>
      <c r="S117" s="61"/>
      <c r="T117" s="103"/>
      <c r="U117" s="103"/>
      <c r="V117" s="60"/>
      <c r="X117" s="103"/>
      <c r="Y117" s="141"/>
      <c r="Z117" s="58"/>
      <c r="AA117" s="142"/>
      <c r="AB117" s="142"/>
      <c r="AC117" s="57"/>
      <c r="AD117" s="115"/>
      <c r="AE117" s="143"/>
      <c r="AF117" s="58"/>
      <c r="AG117" s="144"/>
      <c r="AO117" s="95"/>
      <c r="AP117" s="58"/>
    </row>
    <row r="118" spans="2:42" x14ac:dyDescent="0.25">
      <c r="B118" s="57"/>
      <c r="C118" s="57"/>
      <c r="D118" s="96"/>
      <c r="E118" s="60"/>
      <c r="F118" s="98"/>
      <c r="G118" s="94"/>
      <c r="I118" t="s">
        <v>152</v>
      </c>
      <c r="K118" t="s">
        <v>148</v>
      </c>
      <c r="O118" s="58"/>
      <c r="P118" s="60"/>
      <c r="Q118" s="60"/>
      <c r="R118" s="9"/>
      <c r="S118" s="61"/>
      <c r="T118" s="103"/>
      <c r="U118" s="63"/>
      <c r="V118" s="51"/>
      <c r="W118" s="41"/>
      <c r="X118" s="63"/>
      <c r="Y118" s="67"/>
      <c r="Z118" s="58"/>
      <c r="AA118" s="101"/>
      <c r="AB118" s="101"/>
      <c r="AC118" s="13"/>
      <c r="AD118" s="84"/>
      <c r="AE118" s="106"/>
      <c r="AF118" s="10"/>
      <c r="AG118" s="109"/>
      <c r="AO118" s="9"/>
      <c r="AP118" s="10"/>
    </row>
    <row r="119" spans="2:42" x14ac:dyDescent="0.25">
      <c r="B119" s="57" t="s">
        <v>0</v>
      </c>
      <c r="C119" s="57" t="s">
        <v>1</v>
      </c>
      <c r="D119" s="96" t="s">
        <v>2</v>
      </c>
      <c r="E119" s="138" t="s">
        <v>148</v>
      </c>
      <c r="F119" s="98" t="s">
        <v>149</v>
      </c>
      <c r="G119" s="94"/>
      <c r="O119" s="58"/>
      <c r="P119" s="60"/>
      <c r="Q119" s="60"/>
      <c r="R119" s="9"/>
      <c r="S119" s="61"/>
      <c r="T119" s="103"/>
      <c r="U119" s="63"/>
      <c r="V119" s="51"/>
      <c r="W119" s="41"/>
      <c r="X119" s="63"/>
      <c r="Y119" s="67"/>
      <c r="Z119" s="58"/>
      <c r="AA119" s="101"/>
      <c r="AB119" s="101"/>
      <c r="AC119" s="13"/>
      <c r="AD119" s="84"/>
      <c r="AE119" s="106"/>
      <c r="AF119" s="10"/>
      <c r="AG119" s="109"/>
      <c r="AO119" s="9"/>
      <c r="AP119" s="10"/>
    </row>
    <row r="120" spans="2:42" x14ac:dyDescent="0.25">
      <c r="B120" s="57">
        <f>IFERROR('Daten Auswertung'!Y28,-999)</f>
        <v>1010</v>
      </c>
      <c r="C120" s="57">
        <f>IFERROR('Daten Auswertung'!Z28,-999)</f>
        <v>16</v>
      </c>
      <c r="D120" s="58">
        <f>IFERROR('Daten Auswertung'!AA28,-999)</f>
        <v>28.2</v>
      </c>
      <c r="E120" s="60">
        <f>IF(D120&gt;-999,D120+273.15,"")</f>
        <v>301.34999999999997</v>
      </c>
      <c r="F120" s="148"/>
      <c r="G120" s="96"/>
      <c r="I120" s="13" t="str">
        <f>IF(B120&gt;$B$115,"",B120)</f>
        <v/>
      </c>
      <c r="J120" t="str">
        <f>IF(D120&gt;$D$115,"",D120)</f>
        <v/>
      </c>
      <c r="K120" t="str">
        <f t="shared" ref="K120:K151" si="20">IF(J120="","",E120)</f>
        <v/>
      </c>
      <c r="O120" s="66">
        <f t="shared" ref="O120:O151" si="21">$H$8/$H$9*(1/273.15-1/E120)</f>
        <v>1.8586151548915797</v>
      </c>
      <c r="P120" s="10">
        <f t="shared" ref="P120:P151" si="22">$H$10^O120*6.11</f>
        <v>39.194715460776671</v>
      </c>
      <c r="Q120" s="145">
        <f t="shared" ref="Q120:Q151" si="23">B120</f>
        <v>1010</v>
      </c>
      <c r="R120">
        <f>(0.622*P120)/(Q120-P120)</f>
        <v>2.5112258250813119E-2</v>
      </c>
      <c r="S120" s="9">
        <f>R120*1000</f>
        <v>25.11225825081312</v>
      </c>
      <c r="T120" s="114">
        <f t="shared" ref="T120:T151" si="24">$H$17/(1+$H$22/$H$20*((R120-Q121)/(E120-E121)))</f>
        <v>-3.881263809717582E-7</v>
      </c>
      <c r="U120" s="63" t="str">
        <f t="shared" ref="U120:U151" si="25">IF(J120="","",$H$19*((1+($H$22*R120)/($H$23*K120)))/(($H$20+($H$22^2*R120*$H$24)/($H$23*K120^2))))</f>
        <v/>
      </c>
      <c r="V120" s="113" t="str">
        <f>IF(U120="","",U120*1000)</f>
        <v/>
      </c>
      <c r="W120" s="63">
        <f>$H$19*(($H$23*E120^2+$H$22*R120*E120)/(H$20*$H$23*E120^2+$H$22^2*R120*$H$24))</f>
        <v>3.5625102803016769E-3</v>
      </c>
      <c r="X120" s="67">
        <f>W120*1000</f>
        <v>3.562510280301677</v>
      </c>
      <c r="Y120" s="63"/>
      <c r="Z120" s="121">
        <f t="shared" ref="Z120:Z151" si="26">D120</f>
        <v>28.2</v>
      </c>
      <c r="AA120" s="121">
        <f>G120</f>
        <v>0</v>
      </c>
      <c r="AB120" s="121">
        <f>Q120</f>
        <v>1010</v>
      </c>
      <c r="AC120" s="13"/>
      <c r="AD120" s="84"/>
      <c r="AE120" s="106"/>
      <c r="AF120" s="10"/>
      <c r="AG120" s="109"/>
      <c r="AO120" s="9"/>
      <c r="AP120" s="10"/>
    </row>
    <row r="121" spans="2:42" x14ac:dyDescent="0.25">
      <c r="B121" s="57">
        <f>IFERROR('Daten Auswertung'!Y29,-999)</f>
        <v>1009</v>
      </c>
      <c r="C121" s="57">
        <f>IFERROR('Daten Auswertung'!Z29,-999)</f>
        <v>25</v>
      </c>
      <c r="D121" s="58">
        <f>IFERROR('Daten Auswertung'!AA29,-999)</f>
        <v>28.1</v>
      </c>
      <c r="E121" s="60">
        <f>IF(D121&gt;-999,D121+273.15,"")</f>
        <v>301.25</v>
      </c>
      <c r="F121" s="146">
        <f>C121-C120</f>
        <v>9</v>
      </c>
      <c r="G121" s="96" t="e">
        <f>D120-U120*F121</f>
        <v>#VALUE!</v>
      </c>
      <c r="I121" s="13" t="str">
        <f t="shared" ref="I121:I129" si="27">IF(B121&gt;$B$115,"",B121)</f>
        <v/>
      </c>
      <c r="J121" t="str">
        <f t="shared" ref="J121:J129" si="28">IF(D121&gt;$D$115,"",D121)</f>
        <v/>
      </c>
      <c r="K121" t="str">
        <f t="shared" si="20"/>
        <v/>
      </c>
      <c r="O121" s="66">
        <f t="shared" si="21"/>
        <v>1.8526391008665832</v>
      </c>
      <c r="P121" s="10">
        <f t="shared" si="22"/>
        <v>38.961184216372672</v>
      </c>
      <c r="Q121" s="145">
        <f t="shared" si="23"/>
        <v>1009</v>
      </c>
      <c r="R121">
        <f>(0.622*P121)/(Q121-P121)</f>
        <v>2.4982357600821306E-2</v>
      </c>
      <c r="S121" s="9">
        <f t="shared" ref="S121:S184" si="29">R121*1000</f>
        <v>24.982357600821306</v>
      </c>
      <c r="T121" s="114">
        <f t="shared" si="24"/>
        <v>-3.5245771299040552E-6</v>
      </c>
      <c r="U121" s="63" t="str">
        <f t="shared" si="25"/>
        <v/>
      </c>
      <c r="V121" s="113" t="str">
        <f t="shared" ref="V121:V184" si="30">IF(U121="","",U121*1000)</f>
        <v/>
      </c>
      <c r="W121" s="63">
        <f t="shared" ref="W121:W152" si="31">$H$19*(($H$23*E121^2+$H$22*R121*E121)/(F$20*$H$23*E121^2+$H$22^2*R121*$H$24))</f>
        <v>4.5274000550131624E-3</v>
      </c>
      <c r="X121" s="67">
        <f t="shared" ref="X121:X184" si="32">W121*1000</f>
        <v>4.5274000550131621</v>
      </c>
      <c r="Y121" s="63"/>
      <c r="Z121" s="121">
        <f t="shared" si="26"/>
        <v>28.1</v>
      </c>
      <c r="AA121" s="121">
        <f t="shared" ref="AA121:AA152" si="33">IFERROR(G121,-999)</f>
        <v>-999</v>
      </c>
      <c r="AB121" s="121">
        <f>Q121</f>
        <v>1009</v>
      </c>
      <c r="AC121" s="13"/>
      <c r="AD121" s="84"/>
      <c r="AE121" s="106"/>
      <c r="AF121" s="10"/>
      <c r="AG121" s="109"/>
      <c r="AO121" s="9"/>
      <c r="AP121" s="10"/>
    </row>
    <row r="122" spans="2:42" x14ac:dyDescent="0.25">
      <c r="B122" s="57">
        <f>IFERROR('Daten Auswertung'!Y30,-999)</f>
        <v>1000</v>
      </c>
      <c r="C122" s="57">
        <f>IFERROR('Daten Auswertung'!Z30,-999)</f>
        <v>110</v>
      </c>
      <c r="D122" s="58">
        <f>IFERROR('Daten Auswertung'!AA30,-999)</f>
        <v>27.2</v>
      </c>
      <c r="E122" s="60">
        <f t="shared" ref="E122:E185" si="34">IF(D122&gt;-999,D122+273.15,"")</f>
        <v>300.34999999999997</v>
      </c>
      <c r="F122" s="146">
        <f t="shared" ref="F122:F185" si="35">C122-C121</f>
        <v>85</v>
      </c>
      <c r="G122" s="96" t="e">
        <f t="shared" ref="G122:G153" si="36">G121-U121*F121</f>
        <v>#VALUE!</v>
      </c>
      <c r="I122" s="13" t="str">
        <f t="shared" si="27"/>
        <v/>
      </c>
      <c r="J122" t="str">
        <f t="shared" si="28"/>
        <v/>
      </c>
      <c r="K122" t="str">
        <f t="shared" si="20"/>
        <v/>
      </c>
      <c r="O122" s="66">
        <f t="shared" si="21"/>
        <v>1.7986755419390037</v>
      </c>
      <c r="P122" s="10">
        <f t="shared" si="22"/>
        <v>36.914422010581703</v>
      </c>
      <c r="Q122" s="145">
        <f t="shared" si="23"/>
        <v>1000</v>
      </c>
      <c r="R122">
        <f>(0.622*P122)/(Q122-P122)</f>
        <v>2.3840841370001385E-2</v>
      </c>
      <c r="S122" s="9">
        <f t="shared" si="29"/>
        <v>23.840841370001385</v>
      </c>
      <c r="T122" s="114">
        <f t="shared" si="24"/>
        <v>-1.0878327724403057E-5</v>
      </c>
      <c r="U122" s="63" t="str">
        <f t="shared" si="25"/>
        <v/>
      </c>
      <c r="V122" s="113" t="str">
        <f t="shared" si="30"/>
        <v/>
      </c>
      <c r="W122" s="63">
        <f t="shared" si="31"/>
        <v>4.6311321357962194E-3</v>
      </c>
      <c r="X122" s="67">
        <f t="shared" si="32"/>
        <v>4.6311321357962196</v>
      </c>
      <c r="Y122" s="63"/>
      <c r="Z122" s="121">
        <f t="shared" si="26"/>
        <v>27.2</v>
      </c>
      <c r="AA122" s="121">
        <f t="shared" si="33"/>
        <v>-999</v>
      </c>
      <c r="AB122" s="121">
        <f>Q122</f>
        <v>1000</v>
      </c>
      <c r="AC122" s="13"/>
      <c r="AD122" s="84"/>
      <c r="AE122" s="106"/>
      <c r="AF122" s="10"/>
      <c r="AG122" s="109"/>
      <c r="AO122" s="9"/>
      <c r="AP122" s="10"/>
    </row>
    <row r="123" spans="2:42" x14ac:dyDescent="0.25">
      <c r="B123" s="57">
        <f>IFERROR('Daten Auswertung'!Y31,-999)</f>
        <v>972</v>
      </c>
      <c r="C123" s="57">
        <f>IFERROR('Daten Auswertung'!Z31,-999)</f>
        <v>361</v>
      </c>
      <c r="D123" s="58">
        <f>IFERROR('Daten Auswertung'!AA31,-999)</f>
        <v>24.5</v>
      </c>
      <c r="E123" s="60">
        <f t="shared" si="34"/>
        <v>297.64999999999998</v>
      </c>
      <c r="F123" s="146">
        <f t="shared" si="35"/>
        <v>251</v>
      </c>
      <c r="G123" s="96" t="e">
        <f t="shared" si="36"/>
        <v>#VALUE!</v>
      </c>
      <c r="I123" s="13" t="str">
        <f t="shared" si="27"/>
        <v/>
      </c>
      <c r="J123" t="str">
        <f t="shared" si="28"/>
        <v/>
      </c>
      <c r="K123" t="str">
        <f t="shared" si="20"/>
        <v/>
      </c>
      <c r="O123" s="66">
        <f t="shared" si="21"/>
        <v>1.6348268391646077</v>
      </c>
      <c r="P123" s="10">
        <f t="shared" si="22"/>
        <v>31.335561798843987</v>
      </c>
      <c r="Q123" s="145">
        <f t="shared" si="23"/>
        <v>972</v>
      </c>
      <c r="R123">
        <f t="shared" ref="R123:R137" si="37">(0.622*P123)/(Q123-P123)</f>
        <v>2.0720161884883515E-2</v>
      </c>
      <c r="S123" s="9">
        <f t="shared" si="29"/>
        <v>20.720161884883513</v>
      </c>
      <c r="T123" s="114">
        <f t="shared" si="24"/>
        <v>-5.3086961370050902E-6</v>
      </c>
      <c r="U123" s="63" t="str">
        <f t="shared" si="25"/>
        <v/>
      </c>
      <c r="V123" s="113" t="str">
        <f t="shared" si="30"/>
        <v/>
      </c>
      <c r="W123" s="63">
        <f t="shared" si="31"/>
        <v>4.9700361880163505E-3</v>
      </c>
      <c r="X123" s="67">
        <f t="shared" si="32"/>
        <v>4.9700361880163504</v>
      </c>
      <c r="Y123" s="63"/>
      <c r="Z123" s="121">
        <f t="shared" si="26"/>
        <v>24.5</v>
      </c>
      <c r="AA123" s="121">
        <f t="shared" si="33"/>
        <v>-999</v>
      </c>
      <c r="AB123" s="121">
        <f t="shared" ref="AB123:AB137" si="38">Q123</f>
        <v>972</v>
      </c>
      <c r="AC123" s="13"/>
      <c r="AD123" s="84"/>
      <c r="AE123" s="106"/>
      <c r="AF123" s="10"/>
      <c r="AG123" s="109"/>
      <c r="AO123" s="9"/>
      <c r="AP123" s="10"/>
    </row>
    <row r="124" spans="2:42" x14ac:dyDescent="0.25">
      <c r="B124" s="57">
        <f>IFERROR('Daten Auswertung'!Y32,-999)</f>
        <v>959</v>
      </c>
      <c r="C124" s="57">
        <f>IFERROR('Daten Auswertung'!Z32,-999)</f>
        <v>480</v>
      </c>
      <c r="D124" s="58">
        <f>IFERROR('Daten Auswertung'!AA32,-999)</f>
        <v>23.2</v>
      </c>
      <c r="E124" s="60">
        <f t="shared" si="34"/>
        <v>296.34999999999997</v>
      </c>
      <c r="F124" s="146">
        <f t="shared" si="35"/>
        <v>119</v>
      </c>
      <c r="G124" s="96" t="e">
        <f t="shared" si="36"/>
        <v>#VALUE!</v>
      </c>
      <c r="I124" s="13" t="str">
        <f t="shared" si="27"/>
        <v/>
      </c>
      <c r="J124" t="str">
        <f t="shared" si="28"/>
        <v/>
      </c>
      <c r="K124" t="str">
        <f t="shared" si="20"/>
        <v/>
      </c>
      <c r="O124" s="66">
        <f t="shared" si="21"/>
        <v>1.5548718994452106</v>
      </c>
      <c r="P124" s="10">
        <f t="shared" si="22"/>
        <v>28.927672779457026</v>
      </c>
      <c r="Q124" s="145">
        <f t="shared" si="23"/>
        <v>959</v>
      </c>
      <c r="R124">
        <f t="shared" si="37"/>
        <v>1.9345820687508411E-2</v>
      </c>
      <c r="S124" s="9">
        <f t="shared" si="29"/>
        <v>19.345820687508411</v>
      </c>
      <c r="T124" s="114">
        <f t="shared" si="24"/>
        <v>-5.433334872657082E-6</v>
      </c>
      <c r="U124" s="63" t="str">
        <f t="shared" si="25"/>
        <v/>
      </c>
      <c r="V124" s="113" t="str">
        <f t="shared" si="30"/>
        <v/>
      </c>
      <c r="W124" s="63">
        <f t="shared" si="31"/>
        <v>5.1527241845987712E-3</v>
      </c>
      <c r="X124" s="67">
        <f t="shared" si="32"/>
        <v>5.152724184598771</v>
      </c>
      <c r="Y124" s="63"/>
      <c r="Z124" s="121">
        <f t="shared" si="26"/>
        <v>23.2</v>
      </c>
      <c r="AA124" s="121">
        <f t="shared" si="33"/>
        <v>-999</v>
      </c>
      <c r="AB124" s="121">
        <f t="shared" si="38"/>
        <v>959</v>
      </c>
      <c r="AC124" s="13"/>
      <c r="AD124" s="84"/>
      <c r="AE124" s="106"/>
      <c r="AF124" s="10"/>
      <c r="AG124" s="109"/>
      <c r="AO124" s="9"/>
      <c r="AP124" s="10"/>
    </row>
    <row r="125" spans="2:42" x14ac:dyDescent="0.25">
      <c r="B125" s="57">
        <f>IFERROR('Daten Auswertung'!Y33,-999)</f>
        <v>937</v>
      </c>
      <c r="C125" s="57">
        <f>IFERROR('Daten Auswertung'!Z33,-999)</f>
        <v>683</v>
      </c>
      <c r="D125" s="58">
        <f>IFERROR('Daten Auswertung'!AA33,-999)</f>
        <v>21.9</v>
      </c>
      <c r="E125" s="60">
        <f t="shared" si="34"/>
        <v>295.04999999999995</v>
      </c>
      <c r="F125" s="146">
        <f t="shared" si="35"/>
        <v>203</v>
      </c>
      <c r="G125" s="96" t="e">
        <f t="shared" si="36"/>
        <v>#VALUE!</v>
      </c>
      <c r="I125" s="13" t="str">
        <f t="shared" si="27"/>
        <v/>
      </c>
      <c r="J125" t="str">
        <f t="shared" si="28"/>
        <v/>
      </c>
      <c r="K125" t="str">
        <f t="shared" si="20"/>
        <v/>
      </c>
      <c r="O125" s="66">
        <f t="shared" si="21"/>
        <v>1.4742123915398435</v>
      </c>
      <c r="P125" s="10">
        <f t="shared" si="22"/>
        <v>26.686002171469163</v>
      </c>
      <c r="Q125" s="145">
        <f t="shared" si="23"/>
        <v>937</v>
      </c>
      <c r="R125">
        <f t="shared" si="37"/>
        <v>1.8234030664417391E-2</v>
      </c>
      <c r="S125" s="9">
        <f t="shared" si="29"/>
        <v>18.234030664417389</v>
      </c>
      <c r="T125" s="114">
        <f t="shared" si="24"/>
        <v>-2.9635926089715584E-6</v>
      </c>
      <c r="U125" s="63" t="str">
        <f t="shared" si="25"/>
        <v/>
      </c>
      <c r="V125" s="113" t="str">
        <f t="shared" si="30"/>
        <v/>
      </c>
      <c r="W125" s="63">
        <f t="shared" si="31"/>
        <v>5.3142812410966649E-3</v>
      </c>
      <c r="X125" s="67">
        <f t="shared" si="32"/>
        <v>5.3142812410966647</v>
      </c>
      <c r="Y125" s="63"/>
      <c r="Z125" s="121">
        <f t="shared" si="26"/>
        <v>21.9</v>
      </c>
      <c r="AA125" s="121">
        <f t="shared" si="33"/>
        <v>-999</v>
      </c>
      <c r="AB125" s="121">
        <f t="shared" si="38"/>
        <v>937</v>
      </c>
      <c r="AC125" s="13"/>
      <c r="AD125" s="84"/>
      <c r="AE125" s="106"/>
      <c r="AF125" s="10"/>
      <c r="AG125" s="109"/>
      <c r="AO125" s="9"/>
      <c r="AP125" s="10"/>
    </row>
    <row r="126" spans="2:42" x14ac:dyDescent="0.25">
      <c r="B126" s="57">
        <f>IFERROR('Daten Auswertung'!Y34,-999)</f>
        <v>925</v>
      </c>
      <c r="C126" s="57">
        <f>IFERROR('Daten Auswertung'!Z34,-999)</f>
        <v>796</v>
      </c>
      <c r="D126" s="58">
        <f>IFERROR('Daten Auswertung'!AA34,-999)</f>
        <v>21.2</v>
      </c>
      <c r="E126" s="60">
        <f t="shared" si="34"/>
        <v>294.34999999999997</v>
      </c>
      <c r="F126" s="146">
        <f t="shared" si="35"/>
        <v>113</v>
      </c>
      <c r="G126" s="96" t="e">
        <f t="shared" si="36"/>
        <v>#VALUE!</v>
      </c>
      <c r="I126" s="13" t="str">
        <f t="shared" si="27"/>
        <v/>
      </c>
      <c r="J126" t="str">
        <f t="shared" si="28"/>
        <v/>
      </c>
      <c r="K126" t="str">
        <f t="shared" si="20"/>
        <v/>
      </c>
      <c r="O126" s="66">
        <f t="shared" si="21"/>
        <v>1.4304852440638445</v>
      </c>
      <c r="P126" s="10">
        <f t="shared" si="22"/>
        <v>25.544244247883867</v>
      </c>
      <c r="Q126" s="145">
        <f t="shared" si="23"/>
        <v>925</v>
      </c>
      <c r="R126">
        <f t="shared" si="37"/>
        <v>1.7664593083734217E-2</v>
      </c>
      <c r="S126" s="9">
        <f t="shared" si="29"/>
        <v>17.664593083734218</v>
      </c>
      <c r="T126" s="114">
        <f t="shared" si="24"/>
        <v>-3.4314783854607189E-6</v>
      </c>
      <c r="U126" s="63" t="str">
        <f t="shared" si="25"/>
        <v/>
      </c>
      <c r="V126" s="113" t="str">
        <f t="shared" si="30"/>
        <v/>
      </c>
      <c r="W126" s="63">
        <f t="shared" si="31"/>
        <v>5.4043170069817889E-3</v>
      </c>
      <c r="X126" s="67">
        <f t="shared" si="32"/>
        <v>5.4043170069817892</v>
      </c>
      <c r="Y126" s="63"/>
      <c r="Z126" s="121">
        <f t="shared" si="26"/>
        <v>21.2</v>
      </c>
      <c r="AA126" s="121">
        <f t="shared" si="33"/>
        <v>-999</v>
      </c>
      <c r="AB126" s="121">
        <f t="shared" si="38"/>
        <v>925</v>
      </c>
      <c r="AC126" s="13"/>
      <c r="AD126" s="84"/>
      <c r="AE126" s="106"/>
      <c r="AF126" s="10"/>
      <c r="AG126" s="109"/>
      <c r="AO126" s="9"/>
      <c r="AP126" s="10"/>
    </row>
    <row r="127" spans="2:42" x14ac:dyDescent="0.25">
      <c r="B127" s="57">
        <f>IFERROR('Daten Auswertung'!Y35,-999)</f>
        <v>913</v>
      </c>
      <c r="C127" s="57">
        <f>IFERROR('Daten Auswertung'!Z35,-999)</f>
        <v>909</v>
      </c>
      <c r="D127" s="58">
        <f>IFERROR('Daten Auswertung'!AA35,-999)</f>
        <v>20.399999999999999</v>
      </c>
      <c r="E127" s="60">
        <f t="shared" si="34"/>
        <v>293.54999999999995</v>
      </c>
      <c r="F127" s="146">
        <f t="shared" si="35"/>
        <v>113</v>
      </c>
      <c r="G127" s="96" t="e">
        <f t="shared" si="36"/>
        <v>#VALUE!</v>
      </c>
      <c r="I127" s="13" t="str">
        <f t="shared" si="27"/>
        <v/>
      </c>
      <c r="J127" t="str">
        <f t="shared" si="28"/>
        <v/>
      </c>
      <c r="K127" t="str">
        <f t="shared" si="20"/>
        <v/>
      </c>
      <c r="O127" s="66">
        <f t="shared" si="21"/>
        <v>1.3802560015875802</v>
      </c>
      <c r="P127" s="10">
        <f t="shared" si="22"/>
        <v>24.292867159853945</v>
      </c>
      <c r="Q127" s="145">
        <f t="shared" si="23"/>
        <v>913</v>
      </c>
      <c r="R127">
        <f t="shared" si="37"/>
        <v>1.700241037240224E-2</v>
      </c>
      <c r="S127" s="9">
        <f t="shared" si="29"/>
        <v>17.002410372402242</v>
      </c>
      <c r="T127" s="114">
        <f t="shared" si="24"/>
        <v>-3.4810426136453342E-6</v>
      </c>
      <c r="U127" s="63" t="str">
        <f t="shared" si="25"/>
        <v/>
      </c>
      <c r="V127" s="113" t="str">
        <f t="shared" si="30"/>
        <v/>
      </c>
      <c r="W127" s="63">
        <f t="shared" si="31"/>
        <v>5.5174638014904706E-3</v>
      </c>
      <c r="X127" s="67">
        <f t="shared" si="32"/>
        <v>5.5174638014904707</v>
      </c>
      <c r="Y127" s="63"/>
      <c r="Z127" s="121">
        <f t="shared" si="26"/>
        <v>20.399999999999999</v>
      </c>
      <c r="AA127" s="121">
        <f t="shared" si="33"/>
        <v>-999</v>
      </c>
      <c r="AB127" s="121">
        <f t="shared" si="38"/>
        <v>913</v>
      </c>
      <c r="AC127" s="13"/>
      <c r="AD127" s="84"/>
      <c r="AE127" s="106"/>
      <c r="AF127" s="10"/>
      <c r="AG127" s="109"/>
      <c r="AO127" s="9"/>
      <c r="AP127" s="10"/>
    </row>
    <row r="128" spans="2:42" x14ac:dyDescent="0.25">
      <c r="B128" s="57">
        <f>IFERROR('Daten Auswertung'!Y36,-999)</f>
        <v>900</v>
      </c>
      <c r="C128" s="57">
        <f>IFERROR('Daten Auswertung'!Z36,-999)</f>
        <v>1034</v>
      </c>
      <c r="D128" s="58">
        <f>IFERROR('Daten Auswertung'!AA36,-999)</f>
        <v>19.600000000000001</v>
      </c>
      <c r="E128" s="60">
        <f t="shared" si="34"/>
        <v>292.75</v>
      </c>
      <c r="F128" s="146">
        <f t="shared" si="35"/>
        <v>125</v>
      </c>
      <c r="G128" s="96" t="e">
        <f t="shared" si="36"/>
        <v>#VALUE!</v>
      </c>
      <c r="I128" s="13">
        <f t="shared" si="27"/>
        <v>900</v>
      </c>
      <c r="J128" t="str">
        <f t="shared" si="28"/>
        <v/>
      </c>
      <c r="K128" t="str">
        <f t="shared" si="20"/>
        <v/>
      </c>
      <c r="O128" s="66">
        <f t="shared" si="21"/>
        <v>1.3297522354974449</v>
      </c>
      <c r="P128" s="10">
        <f t="shared" si="22"/>
        <v>23.096451907487943</v>
      </c>
      <c r="Q128" s="145">
        <f t="shared" si="23"/>
        <v>900</v>
      </c>
      <c r="R128">
        <f t="shared" si="37"/>
        <v>1.6382637654628246E-2</v>
      </c>
      <c r="S128" s="9">
        <f t="shared" si="29"/>
        <v>16.382637654628248</v>
      </c>
      <c r="T128" s="114">
        <f t="shared" si="24"/>
        <v>-3.1045526901623275E-6</v>
      </c>
      <c r="U128" s="63" t="str">
        <f t="shared" si="25"/>
        <v/>
      </c>
      <c r="V128" s="113" t="str">
        <f t="shared" si="30"/>
        <v/>
      </c>
      <c r="W128" s="63">
        <f t="shared" si="31"/>
        <v>5.6304234721488416E-3</v>
      </c>
      <c r="X128" s="67">
        <f t="shared" si="32"/>
        <v>5.6304234721488413</v>
      </c>
      <c r="Y128" s="63"/>
      <c r="Z128" s="121">
        <f t="shared" si="26"/>
        <v>19.600000000000001</v>
      </c>
      <c r="AA128" s="121">
        <f t="shared" si="33"/>
        <v>-999</v>
      </c>
      <c r="AB128" s="121">
        <f t="shared" si="38"/>
        <v>900</v>
      </c>
      <c r="AC128" s="13"/>
      <c r="AD128" s="84"/>
      <c r="AE128" s="106"/>
      <c r="AF128" s="10"/>
      <c r="AG128" s="109"/>
      <c r="AO128" s="9"/>
      <c r="AP128" s="10"/>
    </row>
    <row r="129" spans="2:42" x14ac:dyDescent="0.25">
      <c r="B129" s="57">
        <f>IFERROR('Daten Auswertung'!Y37,-999)</f>
        <v>883</v>
      </c>
      <c r="C129" s="57">
        <f>IFERROR('Daten Auswertung'!Z37,-999)</f>
        <v>1198</v>
      </c>
      <c r="D129" s="58">
        <f>IFERROR('Daten Auswertung'!AA37,-999)</f>
        <v>18.899999999999999</v>
      </c>
      <c r="E129" s="60">
        <f t="shared" si="34"/>
        <v>292.04999999999995</v>
      </c>
      <c r="F129" s="146">
        <f t="shared" si="35"/>
        <v>164</v>
      </c>
      <c r="G129" s="96" t="e">
        <f t="shared" si="36"/>
        <v>#VALUE!</v>
      </c>
      <c r="I129" s="13">
        <f t="shared" si="27"/>
        <v>883</v>
      </c>
      <c r="J129" t="str">
        <f t="shared" si="28"/>
        <v/>
      </c>
      <c r="K129" t="str">
        <f t="shared" si="20"/>
        <v/>
      </c>
      <c r="O129" s="66">
        <f t="shared" si="21"/>
        <v>1.2853344715228141</v>
      </c>
      <c r="P129" s="10">
        <f t="shared" si="22"/>
        <v>22.093009464853278</v>
      </c>
      <c r="Q129" s="145">
        <f t="shared" si="23"/>
        <v>883</v>
      </c>
      <c r="R129">
        <f t="shared" si="37"/>
        <v>1.5962063310226687E-2</v>
      </c>
      <c r="S129" s="9">
        <f t="shared" si="29"/>
        <v>15.962063310226686</v>
      </c>
      <c r="T129" s="114">
        <f t="shared" si="24"/>
        <v>-6.9108950741109265E-6</v>
      </c>
      <c r="U129" s="63" t="str">
        <f t="shared" si="25"/>
        <v/>
      </c>
      <c r="V129" s="113" t="str">
        <f t="shared" si="30"/>
        <v/>
      </c>
      <c r="W129" s="63">
        <f t="shared" si="31"/>
        <v>5.7071779106928813E-3</v>
      </c>
      <c r="X129" s="67">
        <f t="shared" si="32"/>
        <v>5.7071779106928808</v>
      </c>
      <c r="Y129" s="63"/>
      <c r="Z129" s="121">
        <f t="shared" si="26"/>
        <v>18.899999999999999</v>
      </c>
      <c r="AA129" s="121">
        <f t="shared" si="33"/>
        <v>-999</v>
      </c>
      <c r="AB129" s="121">
        <f t="shared" si="38"/>
        <v>883</v>
      </c>
      <c r="AC129" s="13"/>
      <c r="AD129" s="84"/>
      <c r="AE129" s="106"/>
      <c r="AF129" s="10"/>
      <c r="AG129" s="109"/>
      <c r="AO129" s="9"/>
      <c r="AP129" s="10"/>
    </row>
    <row r="130" spans="2:42" x14ac:dyDescent="0.25">
      <c r="B130" s="57">
        <f>IFERROR('Daten Auswertung'!Y38,-999)</f>
        <v>850</v>
      </c>
      <c r="C130" s="57">
        <f>IFERROR('Daten Auswertung'!Z38,-999)</f>
        <v>1526</v>
      </c>
      <c r="D130" s="58">
        <f>IFERROR('Daten Auswertung'!AA38,-999)</f>
        <v>17.399999999999999</v>
      </c>
      <c r="E130" s="60">
        <f t="shared" si="34"/>
        <v>290.54999999999995</v>
      </c>
      <c r="F130" s="146">
        <f t="shared" si="35"/>
        <v>328</v>
      </c>
      <c r="G130" s="96" t="e">
        <f t="shared" si="36"/>
        <v>#VALUE!</v>
      </c>
      <c r="I130" s="13">
        <f t="shared" ref="I130:I184" si="39">IF(B130&gt;$B$115,-999,B130)</f>
        <v>850</v>
      </c>
      <c r="J130">
        <f t="shared" ref="J130:J184" si="40">IF(D130&gt;$D$115,-999,D130)</f>
        <v>-999</v>
      </c>
      <c r="K130">
        <f t="shared" si="20"/>
        <v>290.54999999999995</v>
      </c>
      <c r="O130" s="66">
        <f t="shared" si="21"/>
        <v>1.1894328533830347</v>
      </c>
      <c r="P130" s="10">
        <f t="shared" si="22"/>
        <v>20.072678795867454</v>
      </c>
      <c r="Q130" s="145">
        <f t="shared" si="23"/>
        <v>850</v>
      </c>
      <c r="R130">
        <f t="shared" si="37"/>
        <v>1.5043734423533503E-2</v>
      </c>
      <c r="S130" s="9">
        <f t="shared" si="29"/>
        <v>15.043734423533502</v>
      </c>
      <c r="T130" s="114" t="e">
        <f t="shared" si="24"/>
        <v>#DIV/0!</v>
      </c>
      <c r="U130" s="63">
        <f t="shared" si="25"/>
        <v>4.1625546040859373E-3</v>
      </c>
      <c r="V130" s="113">
        <f t="shared" si="30"/>
        <v>4.1625546040859369</v>
      </c>
      <c r="W130" s="63">
        <f t="shared" si="31"/>
        <v>5.8916842252005807E-3</v>
      </c>
      <c r="X130" s="67">
        <f t="shared" si="32"/>
        <v>5.8916842252005805</v>
      </c>
      <c r="Y130" s="63"/>
      <c r="Z130" s="121">
        <f t="shared" si="26"/>
        <v>17.399999999999999</v>
      </c>
      <c r="AA130" s="121">
        <f t="shared" si="33"/>
        <v>-999</v>
      </c>
      <c r="AB130" s="121">
        <f t="shared" si="38"/>
        <v>850</v>
      </c>
      <c r="AC130" s="13"/>
      <c r="AD130" s="84"/>
      <c r="AE130" s="106"/>
      <c r="AF130" s="10"/>
      <c r="AG130" s="109"/>
      <c r="AO130" s="9"/>
      <c r="AP130" s="10"/>
    </row>
    <row r="131" spans="2:42" x14ac:dyDescent="0.25">
      <c r="B131" s="57">
        <f>IFERROR('Daten Auswertung'!Y39,-999)</f>
        <v>848</v>
      </c>
      <c r="C131" s="57">
        <f>IFERROR('Daten Auswertung'!Z39,-999)</f>
        <v>1546</v>
      </c>
      <c r="D131" s="58">
        <f>IFERROR('Daten Auswertung'!AA39,-999)</f>
        <v>17.399999999999999</v>
      </c>
      <c r="E131" s="60">
        <f t="shared" si="34"/>
        <v>290.54999999999995</v>
      </c>
      <c r="F131" s="146">
        <f t="shared" si="35"/>
        <v>20</v>
      </c>
      <c r="G131" s="96" t="e">
        <f t="shared" si="36"/>
        <v>#VALUE!</v>
      </c>
      <c r="I131" s="13">
        <f t="shared" si="39"/>
        <v>848</v>
      </c>
      <c r="J131">
        <f t="shared" si="40"/>
        <v>-999</v>
      </c>
      <c r="K131">
        <f t="shared" si="20"/>
        <v>290.54999999999995</v>
      </c>
      <c r="O131" s="66">
        <f t="shared" si="21"/>
        <v>1.1894328533830347</v>
      </c>
      <c r="P131" s="10">
        <f t="shared" si="22"/>
        <v>20.072678795867454</v>
      </c>
      <c r="Q131" s="145">
        <f t="shared" si="23"/>
        <v>848</v>
      </c>
      <c r="R131">
        <f t="shared" si="37"/>
        <v>1.5080075136149809E-2</v>
      </c>
      <c r="S131" s="9">
        <f t="shared" si="29"/>
        <v>15.080075136149809</v>
      </c>
      <c r="T131" s="114">
        <f t="shared" si="24"/>
        <v>-9.3353237764897257E-7</v>
      </c>
      <c r="U131" s="63">
        <f t="shared" si="25"/>
        <v>4.1585834836425804E-3</v>
      </c>
      <c r="V131" s="113">
        <f t="shared" si="30"/>
        <v>4.1585834836425803</v>
      </c>
      <c r="W131" s="63">
        <f t="shared" si="31"/>
        <v>5.8819005301191324E-3</v>
      </c>
      <c r="X131" s="67">
        <f t="shared" si="32"/>
        <v>5.8819005301191325</v>
      </c>
      <c r="Y131" s="63"/>
      <c r="Z131" s="121">
        <f t="shared" si="26"/>
        <v>17.399999999999999</v>
      </c>
      <c r="AA131" s="121">
        <f t="shared" si="33"/>
        <v>-999</v>
      </c>
      <c r="AB131" s="121">
        <f t="shared" si="38"/>
        <v>848</v>
      </c>
      <c r="AC131" s="13"/>
      <c r="AD131" s="84"/>
      <c r="AE131" s="106"/>
      <c r="AF131" s="10"/>
      <c r="AG131" s="109"/>
      <c r="AO131" s="9"/>
      <c r="AP131" s="10"/>
    </row>
    <row r="132" spans="2:42" x14ac:dyDescent="0.25">
      <c r="B132" s="57">
        <f>IFERROR('Daten Auswertung'!Y40,-999)</f>
        <v>839</v>
      </c>
      <c r="C132" s="57">
        <f>IFERROR('Daten Auswertung'!Z40,-999)</f>
        <v>1638</v>
      </c>
      <c r="D132" s="58">
        <f>IFERROR('Daten Auswertung'!AA40,-999)</f>
        <v>17.2</v>
      </c>
      <c r="E132" s="60">
        <f t="shared" si="34"/>
        <v>290.34999999999997</v>
      </c>
      <c r="F132" s="146">
        <f t="shared" si="35"/>
        <v>92</v>
      </c>
      <c r="G132" s="96" t="e">
        <f t="shared" si="36"/>
        <v>#VALUE!</v>
      </c>
      <c r="I132" s="13">
        <f t="shared" si="39"/>
        <v>839</v>
      </c>
      <c r="J132">
        <f t="shared" si="40"/>
        <v>-999</v>
      </c>
      <c r="K132">
        <f t="shared" si="20"/>
        <v>290.34999999999997</v>
      </c>
      <c r="O132" s="66">
        <f t="shared" si="21"/>
        <v>1.1765711037348077</v>
      </c>
      <c r="P132" s="10">
        <f t="shared" si="22"/>
        <v>19.816162188791807</v>
      </c>
      <c r="Q132" s="145">
        <f t="shared" si="23"/>
        <v>839</v>
      </c>
      <c r="R132">
        <f t="shared" si="37"/>
        <v>1.5046259841211752E-2</v>
      </c>
      <c r="S132" s="9">
        <f t="shared" si="29"/>
        <v>15.046259841211752</v>
      </c>
      <c r="T132" s="114">
        <f t="shared" si="24"/>
        <v>3.7746188325967931E-6</v>
      </c>
      <c r="U132" s="63">
        <f t="shared" si="25"/>
        <v>4.159119942265913E-3</v>
      </c>
      <c r="V132" s="113">
        <f t="shared" si="30"/>
        <v>4.1591199422659129</v>
      </c>
      <c r="W132" s="63">
        <f t="shared" si="31"/>
        <v>5.8841555077020664E-3</v>
      </c>
      <c r="X132" s="67">
        <f t="shared" si="32"/>
        <v>5.8841555077020669</v>
      </c>
      <c r="Y132" s="63"/>
      <c r="Z132" s="121">
        <f t="shared" si="26"/>
        <v>17.2</v>
      </c>
      <c r="AA132" s="121">
        <f t="shared" si="33"/>
        <v>-999</v>
      </c>
      <c r="AB132" s="121">
        <f t="shared" si="38"/>
        <v>839</v>
      </c>
      <c r="AC132" s="13"/>
      <c r="AD132" s="84"/>
      <c r="AE132" s="106"/>
      <c r="AF132" s="10"/>
      <c r="AG132" s="109"/>
      <c r="AO132" s="9"/>
      <c r="AP132" s="10"/>
    </row>
    <row r="133" spans="2:42" x14ac:dyDescent="0.25">
      <c r="B133" s="57">
        <f>IFERROR('Daten Auswertung'!Y41,-999)</f>
        <v>830</v>
      </c>
      <c r="C133" s="57">
        <f>IFERROR('Daten Auswertung'!Z41,-999)</f>
        <v>1730</v>
      </c>
      <c r="D133" s="58">
        <f>IFERROR('Daten Auswertung'!AA41,-999)</f>
        <v>18</v>
      </c>
      <c r="E133" s="60">
        <f t="shared" si="34"/>
        <v>291.14999999999998</v>
      </c>
      <c r="F133" s="146">
        <f t="shared" si="35"/>
        <v>92</v>
      </c>
      <c r="G133" s="96" t="e">
        <f t="shared" si="36"/>
        <v>#VALUE!</v>
      </c>
      <c r="I133" s="13">
        <f t="shared" si="39"/>
        <v>830</v>
      </c>
      <c r="J133">
        <f t="shared" si="40"/>
        <v>-999</v>
      </c>
      <c r="K133">
        <f t="shared" si="20"/>
        <v>291.14999999999998</v>
      </c>
      <c r="O133" s="66">
        <f t="shared" si="21"/>
        <v>1.2279120806922892</v>
      </c>
      <c r="P133" s="10">
        <f t="shared" si="22"/>
        <v>20.860112733512299</v>
      </c>
      <c r="Q133" s="145">
        <f t="shared" si="23"/>
        <v>830</v>
      </c>
      <c r="R133">
        <f t="shared" si="37"/>
        <v>1.6035533934778544E-2</v>
      </c>
      <c r="S133" s="9">
        <f t="shared" si="29"/>
        <v>16.035533934778545</v>
      </c>
      <c r="T133" s="114">
        <f t="shared" si="24"/>
        <v>-4.723972861216015E-7</v>
      </c>
      <c r="U133" s="63">
        <f t="shared" si="25"/>
        <v>4.068159255595916E-3</v>
      </c>
      <c r="V133" s="113">
        <f t="shared" si="30"/>
        <v>4.0681592555959156</v>
      </c>
      <c r="W133" s="63">
        <f t="shared" si="31"/>
        <v>5.6601099581169417E-3</v>
      </c>
      <c r="X133" s="67">
        <f t="shared" si="32"/>
        <v>5.6601099581169416</v>
      </c>
      <c r="Y133" s="63"/>
      <c r="Z133" s="121">
        <f t="shared" si="26"/>
        <v>18</v>
      </c>
      <c r="AA133" s="121">
        <f t="shared" si="33"/>
        <v>-999</v>
      </c>
      <c r="AB133" s="121">
        <f t="shared" si="38"/>
        <v>830</v>
      </c>
      <c r="AC133" s="13"/>
      <c r="AD133" s="84"/>
      <c r="AE133" s="106"/>
      <c r="AF133" s="10"/>
      <c r="AG133" s="109"/>
      <c r="AO133" s="9"/>
      <c r="AP133" s="10"/>
    </row>
    <row r="134" spans="2:42" x14ac:dyDescent="0.25">
      <c r="B134" s="57">
        <f>IFERROR('Daten Auswertung'!Y42,-999)</f>
        <v>829</v>
      </c>
      <c r="C134" s="57">
        <f>IFERROR('Daten Auswertung'!Z42,-999)</f>
        <v>1740</v>
      </c>
      <c r="D134" s="58">
        <f>IFERROR('Daten Auswertung'!AA42,-999)</f>
        <v>17.899999999999999</v>
      </c>
      <c r="E134" s="60">
        <f t="shared" si="34"/>
        <v>291.04999999999995</v>
      </c>
      <c r="F134" s="146">
        <f t="shared" si="35"/>
        <v>10</v>
      </c>
      <c r="G134" s="96" t="e">
        <f t="shared" si="36"/>
        <v>#VALUE!</v>
      </c>
      <c r="I134" s="13">
        <f t="shared" si="39"/>
        <v>829</v>
      </c>
      <c r="J134">
        <f t="shared" si="40"/>
        <v>-999</v>
      </c>
      <c r="K134">
        <f t="shared" si="20"/>
        <v>291.04999999999995</v>
      </c>
      <c r="O134" s="66">
        <f t="shared" si="21"/>
        <v>1.2215098934995359</v>
      </c>
      <c r="P134" s="10">
        <f t="shared" si="22"/>
        <v>20.726988983223933</v>
      </c>
      <c r="Q134" s="145">
        <f t="shared" si="23"/>
        <v>829</v>
      </c>
      <c r="R134">
        <f t="shared" si="37"/>
        <v>1.5950287801082725E-2</v>
      </c>
      <c r="S134" s="9">
        <f t="shared" si="29"/>
        <v>15.950287801082725</v>
      </c>
      <c r="T134" s="114">
        <f t="shared" si="24"/>
        <v>-8.3218803330737338E-6</v>
      </c>
      <c r="U134" s="63">
        <f t="shared" si="25"/>
        <v>4.0751649584832399E-3</v>
      </c>
      <c r="V134" s="113">
        <f t="shared" si="30"/>
        <v>4.0751649584832395</v>
      </c>
      <c r="W134" s="63">
        <f t="shared" si="31"/>
        <v>5.6772788354951288E-3</v>
      </c>
      <c r="X134" s="67">
        <f t="shared" si="32"/>
        <v>5.6772788354951285</v>
      </c>
      <c r="Y134" s="63"/>
      <c r="Z134" s="121">
        <f t="shared" si="26"/>
        <v>17.899999999999999</v>
      </c>
      <c r="AA134" s="121">
        <f t="shared" si="33"/>
        <v>-999</v>
      </c>
      <c r="AB134" s="121">
        <f t="shared" si="38"/>
        <v>829</v>
      </c>
      <c r="AC134" s="13"/>
      <c r="AD134" s="84"/>
      <c r="AE134" s="106"/>
      <c r="AF134" s="10"/>
      <c r="AG134" s="109"/>
      <c r="AO134" s="9"/>
      <c r="AP134" s="10"/>
    </row>
    <row r="135" spans="2:42" x14ac:dyDescent="0.25">
      <c r="B135" s="57">
        <f>IFERROR('Daten Auswertung'!Y43,-999)</f>
        <v>800</v>
      </c>
      <c r="C135" s="57">
        <f>IFERROR('Daten Auswertung'!Z43,-999)</f>
        <v>2044</v>
      </c>
      <c r="D135" s="58">
        <f>IFERROR('Daten Auswertung'!AA43,-999)</f>
        <v>16.2</v>
      </c>
      <c r="E135" s="60">
        <f t="shared" si="34"/>
        <v>289.34999999999997</v>
      </c>
      <c r="F135" s="146">
        <f t="shared" si="35"/>
        <v>304</v>
      </c>
      <c r="G135" s="96" t="e">
        <f t="shared" si="36"/>
        <v>#VALUE!</v>
      </c>
      <c r="I135" s="13">
        <f t="shared" si="39"/>
        <v>800</v>
      </c>
      <c r="J135">
        <f t="shared" si="40"/>
        <v>-999</v>
      </c>
      <c r="K135">
        <f t="shared" si="20"/>
        <v>289.34999999999997</v>
      </c>
      <c r="O135" s="66">
        <f t="shared" si="21"/>
        <v>1.1119956525460655</v>
      </c>
      <c r="P135" s="10">
        <f t="shared" si="22"/>
        <v>18.576965991045672</v>
      </c>
      <c r="Q135" s="145">
        <f t="shared" si="23"/>
        <v>800</v>
      </c>
      <c r="R135">
        <f t="shared" si="37"/>
        <v>1.4786962174828852E-2</v>
      </c>
      <c r="S135" s="9">
        <f t="shared" si="29"/>
        <v>14.786962174828851</v>
      </c>
      <c r="T135" s="114">
        <f t="shared" si="24"/>
        <v>-1.4759438073870201E-6</v>
      </c>
      <c r="U135" s="63">
        <f t="shared" si="25"/>
        <v>4.1719695729741484E-3</v>
      </c>
      <c r="V135" s="113">
        <f t="shared" si="30"/>
        <v>4.1719695729741479</v>
      </c>
      <c r="W135" s="63">
        <f t="shared" si="31"/>
        <v>5.9205702782742335E-3</v>
      </c>
      <c r="X135" s="67">
        <f t="shared" si="32"/>
        <v>5.9205702782742335</v>
      </c>
      <c r="Y135" s="63"/>
      <c r="Z135" s="121">
        <f t="shared" si="26"/>
        <v>16.2</v>
      </c>
      <c r="AA135" s="121">
        <f t="shared" si="33"/>
        <v>-999</v>
      </c>
      <c r="AB135" s="121">
        <f t="shared" si="38"/>
        <v>800</v>
      </c>
      <c r="AC135" s="13"/>
      <c r="AD135" s="84"/>
      <c r="AE135" s="106"/>
      <c r="AF135" s="10"/>
      <c r="AG135" s="109"/>
      <c r="AO135" s="9"/>
      <c r="AP135" s="10"/>
    </row>
    <row r="136" spans="2:42" x14ac:dyDescent="0.25">
      <c r="B136" s="57">
        <f>IFERROR('Daten Auswertung'!Y44,-999)</f>
        <v>796</v>
      </c>
      <c r="C136" s="57">
        <f>IFERROR('Daten Auswertung'!Z44,-999)</f>
        <v>2086</v>
      </c>
      <c r="D136" s="58">
        <f>IFERROR('Daten Auswertung'!AA44,-999)</f>
        <v>15.9</v>
      </c>
      <c r="E136" s="60">
        <f t="shared" si="34"/>
        <v>289.04999999999995</v>
      </c>
      <c r="F136" s="146">
        <f t="shared" si="35"/>
        <v>42</v>
      </c>
      <c r="G136" s="96" t="e">
        <f t="shared" si="36"/>
        <v>#VALUE!</v>
      </c>
      <c r="I136" s="13">
        <f t="shared" si="39"/>
        <v>796</v>
      </c>
      <c r="J136">
        <f t="shared" si="40"/>
        <v>-999</v>
      </c>
      <c r="K136">
        <f t="shared" si="20"/>
        <v>289.04999999999995</v>
      </c>
      <c r="O136" s="66">
        <f t="shared" si="21"/>
        <v>1.0925358889211012</v>
      </c>
      <c r="P136" s="10">
        <f t="shared" si="22"/>
        <v>18.218957303774804</v>
      </c>
      <c r="Q136" s="145">
        <f t="shared" si="23"/>
        <v>796</v>
      </c>
      <c r="R136">
        <f t="shared" si="37"/>
        <v>1.4569899265819336E-2</v>
      </c>
      <c r="S136" s="9">
        <f t="shared" si="29"/>
        <v>14.569899265819336</v>
      </c>
      <c r="T136" s="114">
        <f t="shared" si="24"/>
        <v>-3.6364655452563359E-5</v>
      </c>
      <c r="U136" s="63">
        <f t="shared" si="25"/>
        <v>4.1917288222064345E-3</v>
      </c>
      <c r="V136" s="113">
        <f t="shared" si="30"/>
        <v>4.1917288222064348</v>
      </c>
      <c r="W136" s="63">
        <f t="shared" si="31"/>
        <v>5.9710898838831964E-3</v>
      </c>
      <c r="X136" s="67">
        <f t="shared" si="32"/>
        <v>5.9710898838831961</v>
      </c>
      <c r="Y136" s="63"/>
      <c r="Z136" s="121">
        <f t="shared" si="26"/>
        <v>15.9</v>
      </c>
      <c r="AA136" s="121">
        <f t="shared" si="33"/>
        <v>-999</v>
      </c>
      <c r="AB136" s="121">
        <f t="shared" si="38"/>
        <v>796</v>
      </c>
      <c r="AC136" s="13"/>
      <c r="AD136" s="84"/>
      <c r="AE136" s="106"/>
      <c r="AF136" s="10"/>
      <c r="AG136" s="109"/>
      <c r="AO136" s="9"/>
      <c r="AP136" s="10"/>
    </row>
    <row r="137" spans="2:42" x14ac:dyDescent="0.25">
      <c r="B137" s="57">
        <f>IFERROR('Daten Auswertung'!Y45,-999)</f>
        <v>700</v>
      </c>
      <c r="C137" s="57">
        <f>IFERROR('Daten Auswertung'!Z45,-999)</f>
        <v>3165</v>
      </c>
      <c r="D137" s="58">
        <f>IFERROR('Daten Auswertung'!AA45,-999)</f>
        <v>9.4</v>
      </c>
      <c r="E137" s="60">
        <f t="shared" si="34"/>
        <v>282.54999999999995</v>
      </c>
      <c r="F137" s="146">
        <f t="shared" si="35"/>
        <v>1079</v>
      </c>
      <c r="G137" s="96" t="e">
        <f t="shared" si="36"/>
        <v>#VALUE!</v>
      </c>
      <c r="I137" s="13">
        <f t="shared" si="39"/>
        <v>700</v>
      </c>
      <c r="J137">
        <f t="shared" si="40"/>
        <v>9.4</v>
      </c>
      <c r="K137">
        <f t="shared" si="20"/>
        <v>282.54999999999995</v>
      </c>
      <c r="O137" s="66">
        <f t="shared" si="21"/>
        <v>0.66076054612938828</v>
      </c>
      <c r="P137" s="10">
        <f t="shared" si="22"/>
        <v>11.830575440671508</v>
      </c>
      <c r="Q137" s="145">
        <f t="shared" si="23"/>
        <v>700</v>
      </c>
      <c r="R137">
        <f t="shared" si="37"/>
        <v>1.0693032357271311E-2</v>
      </c>
      <c r="S137" s="9">
        <f t="shared" si="29"/>
        <v>10.693032357271312</v>
      </c>
      <c r="T137" s="114">
        <f t="shared" si="24"/>
        <v>-2.0266325819492414E-5</v>
      </c>
      <c r="U137" s="63">
        <f t="shared" si="25"/>
        <v>4.6261379655848081E-3</v>
      </c>
      <c r="V137" s="113">
        <f t="shared" si="30"/>
        <v>4.6261379655848085</v>
      </c>
      <c r="W137" s="63">
        <f t="shared" si="31"/>
        <v>7.1828971710992222E-3</v>
      </c>
      <c r="X137" s="67">
        <f t="shared" si="32"/>
        <v>7.1828971710992224</v>
      </c>
      <c r="Y137" s="63"/>
      <c r="Z137" s="121">
        <f t="shared" si="26"/>
        <v>9.4</v>
      </c>
      <c r="AA137" s="121">
        <f t="shared" si="33"/>
        <v>-999</v>
      </c>
      <c r="AB137" s="121">
        <f t="shared" si="38"/>
        <v>700</v>
      </c>
      <c r="AC137" s="13"/>
      <c r="AD137" s="84"/>
      <c r="AE137" s="106"/>
      <c r="AF137" s="10"/>
      <c r="AG137" s="109"/>
      <c r="AO137" s="9"/>
      <c r="AP137" s="10"/>
    </row>
    <row r="138" spans="2:42" x14ac:dyDescent="0.25">
      <c r="B138" s="57">
        <f>IFERROR('Daten Auswertung'!Y46,-999)</f>
        <v>657</v>
      </c>
      <c r="C138" s="57">
        <f>IFERROR('Daten Auswertung'!Z46,-999)</f>
        <v>3687</v>
      </c>
      <c r="D138" s="58">
        <f>IFERROR('Daten Auswertung'!AA46,-999)</f>
        <v>6</v>
      </c>
      <c r="E138" s="60">
        <f t="shared" si="34"/>
        <v>279.14999999999998</v>
      </c>
      <c r="F138" s="146">
        <f t="shared" si="35"/>
        <v>522</v>
      </c>
      <c r="G138" s="96" t="e">
        <f t="shared" si="36"/>
        <v>#VALUE!</v>
      </c>
      <c r="I138" s="13">
        <f t="shared" si="39"/>
        <v>657</v>
      </c>
      <c r="J138">
        <f t="shared" si="40"/>
        <v>6</v>
      </c>
      <c r="K138">
        <f t="shared" si="20"/>
        <v>279.14999999999998</v>
      </c>
      <c r="O138" s="66">
        <f t="shared" si="21"/>
        <v>0.42689904148732583</v>
      </c>
      <c r="P138" s="10">
        <f t="shared" si="22"/>
        <v>9.3635623839940703</v>
      </c>
      <c r="Q138" s="145">
        <f t="shared" si="23"/>
        <v>657</v>
      </c>
      <c r="R138">
        <f t="shared" ref="R138:R201" si="41">(0.622*P138)/(Q138-P138)</f>
        <v>8.9929093926267561E-3</v>
      </c>
      <c r="S138" s="9">
        <f t="shared" si="29"/>
        <v>8.9929093926267569</v>
      </c>
      <c r="T138" s="114">
        <f t="shared" si="24"/>
        <v>-2.2655499203720091E-5</v>
      </c>
      <c r="U138" s="63">
        <f t="shared" si="25"/>
        <v>4.8914262222954034E-3</v>
      </c>
      <c r="V138" s="113">
        <f t="shared" si="30"/>
        <v>4.8914262222954035</v>
      </c>
      <c r="W138" s="63">
        <f t="shared" si="31"/>
        <v>8.0289863654843842E-3</v>
      </c>
      <c r="X138" s="67">
        <f t="shared" si="32"/>
        <v>8.0289863654843838</v>
      </c>
      <c r="Y138" s="63"/>
      <c r="Z138" s="121">
        <f t="shared" si="26"/>
        <v>6</v>
      </c>
      <c r="AA138" s="121">
        <f t="shared" si="33"/>
        <v>-999</v>
      </c>
      <c r="AB138" s="121">
        <f t="shared" ref="AB138:AB201" si="42">Q138</f>
        <v>657</v>
      </c>
      <c r="AC138" s="13"/>
      <c r="AD138" s="84"/>
      <c r="AE138" s="106"/>
      <c r="AF138" s="10"/>
      <c r="AG138" s="109"/>
      <c r="AO138" s="9"/>
      <c r="AP138" s="10"/>
    </row>
    <row r="139" spans="2:42" x14ac:dyDescent="0.25">
      <c r="B139" s="57">
        <f>IFERROR('Daten Auswertung'!Y47,-999)</f>
        <v>605</v>
      </c>
      <c r="C139" s="57">
        <f>IFERROR('Daten Auswertung'!Z47,-999)</f>
        <v>4354</v>
      </c>
      <c r="D139" s="58">
        <f>IFERROR('Daten Auswertung'!AA47,-999)</f>
        <v>2.5</v>
      </c>
      <c r="E139" s="60">
        <f t="shared" si="34"/>
        <v>275.64999999999998</v>
      </c>
      <c r="F139" s="146">
        <f t="shared" si="35"/>
        <v>667</v>
      </c>
      <c r="G139" s="96" t="e">
        <f t="shared" si="36"/>
        <v>#VALUE!</v>
      </c>
      <c r="I139" s="13">
        <f t="shared" si="39"/>
        <v>605</v>
      </c>
      <c r="J139">
        <f t="shared" si="40"/>
        <v>2.5</v>
      </c>
      <c r="K139">
        <f t="shared" si="20"/>
        <v>275.64999999999998</v>
      </c>
      <c r="O139" s="66">
        <f t="shared" si="21"/>
        <v>0.18013312085250963</v>
      </c>
      <c r="P139" s="10">
        <f t="shared" si="22"/>
        <v>7.3159719322453114</v>
      </c>
      <c r="Q139" s="145">
        <f t="shared" si="23"/>
        <v>605</v>
      </c>
      <c r="R139">
        <f t="shared" si="41"/>
        <v>7.6136124242234659E-3</v>
      </c>
      <c r="S139" s="9">
        <f t="shared" si="29"/>
        <v>7.613612424223466</v>
      </c>
      <c r="T139" s="114">
        <f t="shared" si="24"/>
        <v>-1.1438935992893124E-5</v>
      </c>
      <c r="U139" s="63">
        <f t="shared" si="25"/>
        <v>5.1519967360162148E-3</v>
      </c>
      <c r="V139" s="113">
        <f t="shared" si="30"/>
        <v>5.1519967360162147</v>
      </c>
      <c r="W139" s="63">
        <f t="shared" si="31"/>
        <v>8.9581153036800559E-3</v>
      </c>
      <c r="X139" s="67">
        <f t="shared" si="32"/>
        <v>8.9581153036800565</v>
      </c>
      <c r="Y139" s="63"/>
      <c r="Z139" s="121">
        <f t="shared" si="26"/>
        <v>2.5</v>
      </c>
      <c r="AA139" s="121">
        <f t="shared" si="33"/>
        <v>-999</v>
      </c>
      <c r="AB139" s="121">
        <f t="shared" si="42"/>
        <v>605</v>
      </c>
      <c r="AC139" s="13"/>
      <c r="AD139" s="84"/>
      <c r="AE139" s="106"/>
      <c r="AF139" s="10"/>
      <c r="AG139" s="109"/>
      <c r="AO139" s="9"/>
      <c r="AP139" s="10"/>
    </row>
    <row r="140" spans="2:42" x14ac:dyDescent="0.25">
      <c r="B140" s="57">
        <f>IFERROR('Daten Auswertung'!Y48,-999)</f>
        <v>582</v>
      </c>
      <c r="C140" s="57">
        <f>IFERROR('Daten Auswertung'!Z48,-999)</f>
        <v>4668</v>
      </c>
      <c r="D140" s="58">
        <f>IFERROR('Daten Auswertung'!AA48,-999)</f>
        <v>0.8</v>
      </c>
      <c r="E140" s="60">
        <f t="shared" si="34"/>
        <v>273.95</v>
      </c>
      <c r="F140" s="146">
        <f t="shared" si="35"/>
        <v>314</v>
      </c>
      <c r="G140" s="96" t="e">
        <f t="shared" si="36"/>
        <v>#VALUE!</v>
      </c>
      <c r="I140" s="13">
        <f t="shared" si="39"/>
        <v>582</v>
      </c>
      <c r="J140">
        <f t="shared" si="40"/>
        <v>0.8</v>
      </c>
      <c r="K140">
        <f t="shared" si="20"/>
        <v>273.95</v>
      </c>
      <c r="O140" s="66">
        <f t="shared" si="21"/>
        <v>5.8000300507969414E-2</v>
      </c>
      <c r="P140" s="10">
        <f t="shared" si="22"/>
        <v>6.4748605695286097</v>
      </c>
      <c r="Q140" s="145">
        <f t="shared" si="23"/>
        <v>582</v>
      </c>
      <c r="R140">
        <f t="shared" si="41"/>
        <v>6.997719123498578E-3</v>
      </c>
      <c r="S140" s="9">
        <f t="shared" si="29"/>
        <v>6.9977191234985776</v>
      </c>
      <c r="T140" s="114">
        <f t="shared" si="24"/>
        <v>-4.8262384170387403E-6</v>
      </c>
      <c r="U140" s="63">
        <f t="shared" si="25"/>
        <v>5.2880658227427782E-3</v>
      </c>
      <c r="V140" s="113">
        <f t="shared" si="30"/>
        <v>5.2880658227427784</v>
      </c>
      <c r="W140" s="63">
        <f t="shared" si="31"/>
        <v>9.4862787408562538E-3</v>
      </c>
      <c r="X140" s="67">
        <f t="shared" si="32"/>
        <v>9.4862787408562532</v>
      </c>
      <c r="Y140" s="63"/>
      <c r="Z140" s="121">
        <f t="shared" si="26"/>
        <v>0.8</v>
      </c>
      <c r="AA140" s="121">
        <f t="shared" si="33"/>
        <v>-999</v>
      </c>
      <c r="AB140" s="121">
        <f t="shared" si="42"/>
        <v>582</v>
      </c>
      <c r="AC140" s="13"/>
      <c r="AD140" s="84"/>
      <c r="AE140" s="106"/>
      <c r="AF140" s="10"/>
      <c r="AG140" s="109"/>
      <c r="AO140" s="9"/>
      <c r="AP140" s="10"/>
    </row>
    <row r="141" spans="2:42" x14ac:dyDescent="0.25">
      <c r="B141" s="57">
        <f>IFERROR('Daten Auswertung'!Y49,-999)</f>
        <v>568</v>
      </c>
      <c r="C141" s="57">
        <f>IFERROR('Daten Auswertung'!Z49,-999)</f>
        <v>4863</v>
      </c>
      <c r="D141" s="58">
        <f>IFERROR('Daten Auswertung'!AA49,-999)</f>
        <v>0.1</v>
      </c>
      <c r="E141" s="60">
        <f t="shared" si="34"/>
        <v>273.25</v>
      </c>
      <c r="F141" s="146">
        <f t="shared" si="35"/>
        <v>195</v>
      </c>
      <c r="G141" s="96" t="e">
        <f t="shared" si="36"/>
        <v>#VALUE!</v>
      </c>
      <c r="I141" s="13">
        <f t="shared" si="39"/>
        <v>568</v>
      </c>
      <c r="J141">
        <f t="shared" si="40"/>
        <v>0.1</v>
      </c>
      <c r="K141">
        <f t="shared" si="20"/>
        <v>273.25</v>
      </c>
      <c r="O141" s="66">
        <f t="shared" si="21"/>
        <v>7.2686103953157047E-3</v>
      </c>
      <c r="P141" s="10">
        <f t="shared" si="22"/>
        <v>6.1545730051762977</v>
      </c>
      <c r="Q141" s="145">
        <f t="shared" si="23"/>
        <v>568</v>
      </c>
      <c r="R141">
        <f t="shared" si="41"/>
        <v>6.8135188528551044E-3</v>
      </c>
      <c r="S141" s="9">
        <f t="shared" si="29"/>
        <v>6.8135188528551041</v>
      </c>
      <c r="T141" s="114">
        <f t="shared" si="24"/>
        <v>-3.496559474715359E-6</v>
      </c>
      <c r="U141" s="63">
        <f t="shared" si="25"/>
        <v>5.3284746129013769E-3</v>
      </c>
      <c r="V141" s="113">
        <f t="shared" si="30"/>
        <v>5.3284746129013767</v>
      </c>
      <c r="W141" s="63">
        <f t="shared" si="31"/>
        <v>9.6509575309297532E-3</v>
      </c>
      <c r="X141" s="67">
        <f t="shared" si="32"/>
        <v>9.6509575309297535</v>
      </c>
      <c r="Y141" s="63"/>
      <c r="Z141" s="121">
        <f t="shared" si="26"/>
        <v>0.1</v>
      </c>
      <c r="AA141" s="121">
        <f t="shared" si="33"/>
        <v>-999</v>
      </c>
      <c r="AB141" s="121">
        <f t="shared" si="42"/>
        <v>568</v>
      </c>
      <c r="AC141" s="13"/>
      <c r="AD141" s="84"/>
      <c r="AE141" s="106"/>
      <c r="AF141" s="10"/>
      <c r="AG141" s="109"/>
      <c r="AO141" s="9"/>
      <c r="AP141" s="10"/>
    </row>
    <row r="142" spans="2:42" x14ac:dyDescent="0.25">
      <c r="B142" s="57">
        <f>IFERROR('Daten Auswertung'!Y50,-999)</f>
        <v>560</v>
      </c>
      <c r="C142" s="57">
        <f>IFERROR('Daten Auswertung'!Z50,-999)</f>
        <v>4976</v>
      </c>
      <c r="D142" s="58">
        <f>IFERROR('Daten Auswertung'!AA50,-999)</f>
        <v>-0.4</v>
      </c>
      <c r="E142" s="60">
        <f t="shared" si="34"/>
        <v>272.75</v>
      </c>
      <c r="F142" s="146">
        <f t="shared" si="35"/>
        <v>113</v>
      </c>
      <c r="G142" s="96" t="e">
        <f t="shared" si="36"/>
        <v>#VALUE!</v>
      </c>
      <c r="I142" s="13">
        <f t="shared" si="39"/>
        <v>560</v>
      </c>
      <c r="J142">
        <f t="shared" si="40"/>
        <v>-0.4</v>
      </c>
      <c r="K142">
        <f t="shared" si="20"/>
        <v>272.75</v>
      </c>
      <c r="O142" s="66">
        <f t="shared" si="21"/>
        <v>-2.9127740282598669E-2</v>
      </c>
      <c r="P142" s="10">
        <f t="shared" si="22"/>
        <v>5.9345964624443024</v>
      </c>
      <c r="Q142" s="145">
        <f t="shared" si="23"/>
        <v>560</v>
      </c>
      <c r="R142">
        <f t="shared" si="41"/>
        <v>6.6622441611988341E-3</v>
      </c>
      <c r="S142" s="9">
        <f t="shared" si="29"/>
        <v>6.6622441611988341</v>
      </c>
      <c r="T142" s="114">
        <f t="shared" si="24"/>
        <v>-7.0181802856706978E-7</v>
      </c>
      <c r="U142" s="63">
        <f t="shared" si="25"/>
        <v>5.3641900685377124E-3</v>
      </c>
      <c r="V142" s="113">
        <f t="shared" si="30"/>
        <v>5.3641900685377122</v>
      </c>
      <c r="W142" s="63">
        <f t="shared" si="31"/>
        <v>9.7981793280530385E-3</v>
      </c>
      <c r="X142" s="67">
        <f t="shared" si="32"/>
        <v>9.7981793280530383</v>
      </c>
      <c r="Y142" s="63"/>
      <c r="Z142" s="121">
        <f t="shared" si="26"/>
        <v>-0.4</v>
      </c>
      <c r="AA142" s="121">
        <f t="shared" si="33"/>
        <v>-999</v>
      </c>
      <c r="AB142" s="121">
        <f t="shared" si="42"/>
        <v>560</v>
      </c>
      <c r="AC142" s="13"/>
      <c r="AD142" s="84"/>
      <c r="AE142" s="106"/>
      <c r="AF142" s="10"/>
      <c r="AG142" s="109"/>
      <c r="AO142" s="9"/>
      <c r="AP142" s="10"/>
    </row>
    <row r="143" spans="2:42" x14ac:dyDescent="0.25">
      <c r="B143" s="57">
        <f>IFERROR('Daten Auswertung'!Y51,-999)</f>
        <v>558</v>
      </c>
      <c r="C143" s="57">
        <f>IFERROR('Daten Auswertung'!Z51,-999)</f>
        <v>5005</v>
      </c>
      <c r="D143" s="58">
        <f>IFERROR('Daten Auswertung'!AA51,-999)</f>
        <v>-0.5</v>
      </c>
      <c r="E143" s="60">
        <f t="shared" si="34"/>
        <v>272.64999999999998</v>
      </c>
      <c r="F143" s="146">
        <f t="shared" si="35"/>
        <v>29</v>
      </c>
      <c r="G143" s="96" t="e">
        <f t="shared" si="36"/>
        <v>#VALUE!</v>
      </c>
      <c r="I143" s="13">
        <f t="shared" si="39"/>
        <v>558</v>
      </c>
      <c r="J143">
        <f t="shared" si="40"/>
        <v>-0.5</v>
      </c>
      <c r="K143">
        <f t="shared" si="20"/>
        <v>272.64999999999998</v>
      </c>
      <c r="O143" s="66">
        <f t="shared" si="21"/>
        <v>-3.6423029351178512E-2</v>
      </c>
      <c r="P143" s="10">
        <f t="shared" si="22"/>
        <v>5.8914594057126921</v>
      </c>
      <c r="Q143" s="145">
        <f t="shared" si="23"/>
        <v>558</v>
      </c>
      <c r="R143">
        <f t="shared" si="41"/>
        <v>6.6372596707322349E-3</v>
      </c>
      <c r="S143" s="9">
        <f t="shared" si="29"/>
        <v>6.6372596707322353</v>
      </c>
      <c r="T143" s="114">
        <f t="shared" si="24"/>
        <v>-2.7442772465107937E-5</v>
      </c>
      <c r="U143" s="63">
        <f t="shared" si="25"/>
        <v>5.369879657210177E-3</v>
      </c>
      <c r="V143" s="113">
        <f t="shared" si="30"/>
        <v>5.369879657210177</v>
      </c>
      <c r="W143" s="63">
        <f t="shared" si="31"/>
        <v>9.8220139261496909E-3</v>
      </c>
      <c r="X143" s="67">
        <f t="shared" si="32"/>
        <v>9.8220139261496904</v>
      </c>
      <c r="Y143" s="63"/>
      <c r="Z143" s="121">
        <f t="shared" si="26"/>
        <v>-0.5</v>
      </c>
      <c r="AA143" s="121">
        <f t="shared" si="33"/>
        <v>-999</v>
      </c>
      <c r="AB143" s="121">
        <f t="shared" si="42"/>
        <v>558</v>
      </c>
      <c r="AC143" s="13"/>
      <c r="AD143" s="84"/>
      <c r="AE143" s="106"/>
      <c r="AF143" s="10"/>
      <c r="AG143" s="109"/>
      <c r="AO143" s="9"/>
      <c r="AP143" s="10"/>
    </row>
    <row r="144" spans="2:42" x14ac:dyDescent="0.25">
      <c r="B144" s="57">
        <f>IFERROR('Daten Auswertung'!Y52,-999)</f>
        <v>528</v>
      </c>
      <c r="C144" s="57">
        <f>IFERROR('Daten Auswertung'!Z52,-999)</f>
        <v>5442</v>
      </c>
      <c r="D144" s="58">
        <f>IFERROR('Daten Auswertung'!AA52,-999)</f>
        <v>-4.2</v>
      </c>
      <c r="E144" s="60">
        <f t="shared" si="34"/>
        <v>268.95</v>
      </c>
      <c r="F144" s="146">
        <f t="shared" si="35"/>
        <v>437</v>
      </c>
      <c r="G144" s="96" t="e">
        <f t="shared" si="36"/>
        <v>#VALUE!</v>
      </c>
      <c r="I144" s="13">
        <f t="shared" si="39"/>
        <v>528</v>
      </c>
      <c r="J144">
        <f t="shared" si="40"/>
        <v>-4.2</v>
      </c>
      <c r="K144">
        <f t="shared" si="20"/>
        <v>268.95</v>
      </c>
      <c r="O144" s="66">
        <f t="shared" si="21"/>
        <v>-0.31016251051061638</v>
      </c>
      <c r="P144" s="10">
        <f t="shared" si="22"/>
        <v>4.4806326934844849</v>
      </c>
      <c r="Q144" s="145">
        <f t="shared" si="23"/>
        <v>528</v>
      </c>
      <c r="R144">
        <f t="shared" si="41"/>
        <v>5.3234965301973544E-3</v>
      </c>
      <c r="S144" s="9">
        <f t="shared" si="29"/>
        <v>5.323496530197354</v>
      </c>
      <c r="T144" s="114">
        <f t="shared" si="24"/>
        <v>-6.7649256446377147E-6</v>
      </c>
      <c r="U144" s="63">
        <f t="shared" si="25"/>
        <v>5.7462631272704326E-3</v>
      </c>
      <c r="V144" s="113">
        <f t="shared" si="30"/>
        <v>5.7462631272704323</v>
      </c>
      <c r="W144" s="63">
        <f t="shared" si="31"/>
        <v>1.1526067459678107E-2</v>
      </c>
      <c r="X144" s="67">
        <f t="shared" si="32"/>
        <v>11.526067459678107</v>
      </c>
      <c r="Y144" s="63"/>
      <c r="Z144" s="121">
        <f t="shared" si="26"/>
        <v>-4.2</v>
      </c>
      <c r="AA144" s="121">
        <f t="shared" si="33"/>
        <v>-999</v>
      </c>
      <c r="AB144" s="121">
        <f t="shared" si="42"/>
        <v>528</v>
      </c>
      <c r="AC144" s="13"/>
      <c r="AD144" s="84"/>
      <c r="AE144" s="106"/>
      <c r="AF144" s="10"/>
      <c r="AG144" s="109"/>
      <c r="AO144" s="9"/>
      <c r="AP144" s="10"/>
    </row>
    <row r="145" spans="2:42" x14ac:dyDescent="0.25">
      <c r="B145" s="57">
        <f>IFERROR('Daten Auswertung'!Y53,-999)</f>
        <v>521</v>
      </c>
      <c r="C145" s="57">
        <f>IFERROR('Daten Auswertung'!Z53,-999)</f>
        <v>5548</v>
      </c>
      <c r="D145" s="58">
        <f>IFERROR('Daten Auswertung'!AA53,-999)</f>
        <v>-5.0999999999999996</v>
      </c>
      <c r="E145" s="60">
        <f t="shared" si="34"/>
        <v>268.04999999999995</v>
      </c>
      <c r="F145" s="146">
        <f t="shared" si="35"/>
        <v>106</v>
      </c>
      <c r="G145" s="96" t="e">
        <f t="shared" si="36"/>
        <v>#VALUE!</v>
      </c>
      <c r="I145" s="13">
        <f t="shared" si="39"/>
        <v>521</v>
      </c>
      <c r="J145">
        <f t="shared" si="40"/>
        <v>-5.0999999999999996</v>
      </c>
      <c r="K145">
        <f t="shared" si="20"/>
        <v>268.04999999999995</v>
      </c>
      <c r="O145" s="66">
        <f t="shared" si="21"/>
        <v>-0.37789045818507389</v>
      </c>
      <c r="P145" s="10">
        <f t="shared" si="22"/>
        <v>4.1872170093323779</v>
      </c>
      <c r="Q145" s="145">
        <f t="shared" si="23"/>
        <v>521</v>
      </c>
      <c r="R145">
        <f t="shared" si="41"/>
        <v>5.0394438092909348E-3</v>
      </c>
      <c r="S145" s="9">
        <f t="shared" si="29"/>
        <v>5.0394438092909351</v>
      </c>
      <c r="T145" s="114">
        <f t="shared" si="24"/>
        <v>-5.3645730604352754E-6</v>
      </c>
      <c r="U145" s="63">
        <f t="shared" si="25"/>
        <v>5.8406733008740932E-3</v>
      </c>
      <c r="V145" s="113">
        <f t="shared" si="30"/>
        <v>5.8406733008740934</v>
      </c>
      <c r="W145" s="63">
        <f t="shared" si="31"/>
        <v>1.2005110549469259E-2</v>
      </c>
      <c r="X145" s="67">
        <f t="shared" si="32"/>
        <v>12.00511054946926</v>
      </c>
      <c r="Y145" s="63"/>
      <c r="Z145" s="121">
        <f t="shared" si="26"/>
        <v>-5.0999999999999996</v>
      </c>
      <c r="AA145" s="121">
        <f t="shared" si="33"/>
        <v>-999</v>
      </c>
      <c r="AB145" s="121">
        <f t="shared" si="42"/>
        <v>521</v>
      </c>
      <c r="AC145" s="13"/>
      <c r="AD145" s="84"/>
      <c r="AE145" s="106"/>
      <c r="AF145" s="10"/>
      <c r="AG145" s="109"/>
      <c r="AO145" s="9"/>
      <c r="AP145" s="10"/>
    </row>
    <row r="146" spans="2:42" x14ac:dyDescent="0.25">
      <c r="B146" s="57">
        <f>IFERROR('Daten Auswertung'!Y54,-999)</f>
        <v>511</v>
      </c>
      <c r="C146" s="57">
        <f>IFERROR('Daten Auswertung'!Z54,-999)</f>
        <v>5700</v>
      </c>
      <c r="D146" s="58">
        <f>IFERROR('Daten Auswertung'!AA54,-999)</f>
        <v>-5.8</v>
      </c>
      <c r="E146" s="60">
        <f t="shared" si="34"/>
        <v>267.34999999999997</v>
      </c>
      <c r="F146" s="146">
        <f t="shared" si="35"/>
        <v>152</v>
      </c>
      <c r="G146" s="96" t="e">
        <f t="shared" si="36"/>
        <v>#VALUE!</v>
      </c>
      <c r="I146" s="13">
        <f t="shared" si="39"/>
        <v>511</v>
      </c>
      <c r="J146">
        <f t="shared" si="40"/>
        <v>-5.8</v>
      </c>
      <c r="K146">
        <f t="shared" si="20"/>
        <v>267.34999999999997</v>
      </c>
      <c r="O146" s="66">
        <f t="shared" si="21"/>
        <v>-0.43088300673329821</v>
      </c>
      <c r="P146" s="10">
        <f t="shared" si="22"/>
        <v>3.9711025099499064</v>
      </c>
      <c r="Q146" s="145">
        <f t="shared" si="23"/>
        <v>511</v>
      </c>
      <c r="R146">
        <f t="shared" si="41"/>
        <v>4.8715680179497334E-3</v>
      </c>
      <c r="S146" s="9">
        <f t="shared" si="29"/>
        <v>4.8715680179497332</v>
      </c>
      <c r="T146" s="114">
        <f t="shared" si="24"/>
        <v>-6.2533144101565633E-6</v>
      </c>
      <c r="U146" s="63">
        <f t="shared" si="25"/>
        <v>5.8963872524230221E-3</v>
      </c>
      <c r="V146" s="113">
        <f t="shared" si="30"/>
        <v>5.8963872524230219</v>
      </c>
      <c r="W146" s="63">
        <f t="shared" si="31"/>
        <v>1.2300502078516099E-2</v>
      </c>
      <c r="X146" s="67">
        <f t="shared" si="32"/>
        <v>12.3005020785161</v>
      </c>
      <c r="Y146" s="63"/>
      <c r="Z146" s="121">
        <f t="shared" si="26"/>
        <v>-5.8</v>
      </c>
      <c r="AA146" s="121">
        <f t="shared" si="33"/>
        <v>-999</v>
      </c>
      <c r="AB146" s="121">
        <f t="shared" si="42"/>
        <v>511</v>
      </c>
      <c r="AC146" s="13"/>
      <c r="AD146" s="84"/>
      <c r="AE146" s="106"/>
      <c r="AF146" s="10"/>
      <c r="AG146" s="109"/>
      <c r="AO146" s="9"/>
      <c r="AP146" s="10"/>
    </row>
    <row r="147" spans="2:42" x14ac:dyDescent="0.25">
      <c r="B147" s="57">
        <f>IFERROR('Daten Auswertung'!Y55,-999)</f>
        <v>501</v>
      </c>
      <c r="C147" s="57">
        <f>IFERROR('Daten Auswertung'!Z55,-999)</f>
        <v>5854</v>
      </c>
      <c r="D147" s="58">
        <f>IFERROR('Daten Auswertung'!AA55,-999)</f>
        <v>-6.6</v>
      </c>
      <c r="E147" s="60">
        <f t="shared" si="34"/>
        <v>266.54999999999995</v>
      </c>
      <c r="F147" s="146">
        <f t="shared" si="35"/>
        <v>154</v>
      </c>
      <c r="G147" s="96" t="e">
        <f t="shared" si="36"/>
        <v>#VALUE!</v>
      </c>
      <c r="I147" s="13">
        <f t="shared" si="39"/>
        <v>501</v>
      </c>
      <c r="J147">
        <f t="shared" si="40"/>
        <v>-6.6</v>
      </c>
      <c r="K147">
        <f t="shared" si="20"/>
        <v>266.54999999999995</v>
      </c>
      <c r="O147" s="66">
        <f t="shared" si="21"/>
        <v>-0.49178673485014263</v>
      </c>
      <c r="P147" s="10">
        <f t="shared" si="22"/>
        <v>3.7364652281277757</v>
      </c>
      <c r="Q147" s="145">
        <f t="shared" si="23"/>
        <v>501</v>
      </c>
      <c r="R147">
        <f t="shared" si="41"/>
        <v>4.6737418076748518E-3</v>
      </c>
      <c r="S147" s="9">
        <f t="shared" si="29"/>
        <v>4.673741807674852</v>
      </c>
      <c r="T147" s="114">
        <f t="shared" si="24"/>
        <v>-7.832268962477489E-7</v>
      </c>
      <c r="U147" s="63">
        <f t="shared" si="25"/>
        <v>5.9655354267332938E-3</v>
      </c>
      <c r="V147" s="113">
        <f t="shared" si="30"/>
        <v>5.9655354267332941</v>
      </c>
      <c r="W147" s="63">
        <f t="shared" si="31"/>
        <v>1.2678642765314102E-2</v>
      </c>
      <c r="X147" s="67">
        <f t="shared" si="32"/>
        <v>12.678642765314102</v>
      </c>
      <c r="Y147" s="63"/>
      <c r="Z147" s="121">
        <f t="shared" si="26"/>
        <v>-6.6</v>
      </c>
      <c r="AA147" s="121">
        <f t="shared" si="33"/>
        <v>-999</v>
      </c>
      <c r="AB147" s="121">
        <f t="shared" si="42"/>
        <v>501</v>
      </c>
      <c r="AC147" s="13"/>
      <c r="AD147" s="84"/>
      <c r="AE147" s="106"/>
      <c r="AF147" s="10"/>
      <c r="AG147" s="109"/>
      <c r="AO147" s="9"/>
      <c r="AP147" s="10"/>
    </row>
    <row r="148" spans="2:42" x14ac:dyDescent="0.25">
      <c r="B148" s="57">
        <f>IFERROR('Daten Auswertung'!Y56,-999)</f>
        <v>500</v>
      </c>
      <c r="C148" s="57">
        <f>IFERROR('Daten Auswertung'!Z56,-999)</f>
        <v>5870</v>
      </c>
      <c r="D148" s="58">
        <f>IFERROR('Daten Auswertung'!AA56,-999)</f>
        <v>-6.7</v>
      </c>
      <c r="E148" s="60">
        <f t="shared" si="34"/>
        <v>266.45</v>
      </c>
      <c r="F148" s="146">
        <f t="shared" si="35"/>
        <v>16</v>
      </c>
      <c r="G148" s="96" t="e">
        <f t="shared" si="36"/>
        <v>#VALUE!</v>
      </c>
      <c r="I148" s="13">
        <f t="shared" si="39"/>
        <v>500</v>
      </c>
      <c r="J148">
        <f t="shared" si="40"/>
        <v>-6.7</v>
      </c>
      <c r="K148">
        <f t="shared" si="20"/>
        <v>266.45</v>
      </c>
      <c r="O148" s="66">
        <f t="shared" si="21"/>
        <v>-0.49942541551820235</v>
      </c>
      <c r="P148" s="10">
        <f t="shared" si="22"/>
        <v>3.7080322967188346</v>
      </c>
      <c r="Q148" s="145">
        <f t="shared" si="23"/>
        <v>500</v>
      </c>
      <c r="R148">
        <f t="shared" si="41"/>
        <v>4.647256531739888E-3</v>
      </c>
      <c r="S148" s="9">
        <f t="shared" si="29"/>
        <v>4.6472565317398882</v>
      </c>
      <c r="T148" s="114">
        <f t="shared" si="24"/>
        <v>-4.8447056031084072E-6</v>
      </c>
      <c r="U148" s="63">
        <f t="shared" si="25"/>
        <v>5.9751828962032001E-3</v>
      </c>
      <c r="V148" s="113">
        <f t="shared" si="30"/>
        <v>5.9751828962031999</v>
      </c>
      <c r="W148" s="63">
        <f t="shared" si="31"/>
        <v>1.2732394378063814E-2</v>
      </c>
      <c r="X148" s="67">
        <f t="shared" si="32"/>
        <v>12.732394378063814</v>
      </c>
      <c r="Y148" s="63"/>
      <c r="Z148" s="121">
        <f t="shared" si="26"/>
        <v>-6.7</v>
      </c>
      <c r="AA148" s="121">
        <f t="shared" si="33"/>
        <v>-999</v>
      </c>
      <c r="AB148" s="121">
        <f t="shared" si="42"/>
        <v>500</v>
      </c>
      <c r="AC148" s="13"/>
      <c r="AD148" s="84"/>
      <c r="AE148" s="106"/>
      <c r="AF148" s="10"/>
      <c r="AG148" s="109"/>
      <c r="AO148" s="9"/>
      <c r="AP148" s="10"/>
    </row>
    <row r="149" spans="2:42" x14ac:dyDescent="0.25">
      <c r="B149" s="57">
        <f>IFERROR('Daten Auswertung'!Y57,-999)</f>
        <v>485</v>
      </c>
      <c r="C149" s="57">
        <f>IFERROR('Daten Auswertung'!Z57,-999)</f>
        <v>6108</v>
      </c>
      <c r="D149" s="58">
        <f>IFERROR('Daten Auswertung'!AA57,-999)</f>
        <v>-7.3</v>
      </c>
      <c r="E149" s="60">
        <f t="shared" si="34"/>
        <v>265.84999999999997</v>
      </c>
      <c r="F149" s="146">
        <f t="shared" si="35"/>
        <v>238</v>
      </c>
      <c r="G149" s="96" t="e">
        <f t="shared" si="36"/>
        <v>#VALUE!</v>
      </c>
      <c r="I149" s="13">
        <f t="shared" si="39"/>
        <v>485</v>
      </c>
      <c r="J149">
        <f t="shared" si="40"/>
        <v>-7.3</v>
      </c>
      <c r="K149">
        <f t="shared" si="20"/>
        <v>265.84999999999997</v>
      </c>
      <c r="O149" s="66">
        <f t="shared" si="21"/>
        <v>-0.54537817832591351</v>
      </c>
      <c r="P149" s="10">
        <f t="shared" si="22"/>
        <v>3.5414937267974973</v>
      </c>
      <c r="Q149" s="145">
        <f t="shared" si="23"/>
        <v>485</v>
      </c>
      <c r="R149">
        <f t="shared" si="41"/>
        <v>4.5752833720172437E-3</v>
      </c>
      <c r="S149" s="9">
        <f t="shared" si="29"/>
        <v>4.5752833720172434</v>
      </c>
      <c r="T149" s="114">
        <f t="shared" si="24"/>
        <v>-4.1603500960616822E-5</v>
      </c>
      <c r="U149" s="63">
        <f t="shared" si="25"/>
        <v>5.9957844456846694E-3</v>
      </c>
      <c r="V149" s="113">
        <f t="shared" si="30"/>
        <v>5.9957844456846692</v>
      </c>
      <c r="W149" s="63">
        <f t="shared" si="31"/>
        <v>1.285197451012632E-2</v>
      </c>
      <c r="X149" s="67">
        <f t="shared" si="32"/>
        <v>12.85197451012632</v>
      </c>
      <c r="Y149" s="63"/>
      <c r="Z149" s="121">
        <f t="shared" si="26"/>
        <v>-7.3</v>
      </c>
      <c r="AA149" s="121">
        <f t="shared" si="33"/>
        <v>-999</v>
      </c>
      <c r="AB149" s="121">
        <f t="shared" si="42"/>
        <v>485</v>
      </c>
      <c r="AC149" s="13"/>
      <c r="AD149" s="84"/>
      <c r="AE149" s="106"/>
      <c r="AF149" s="10"/>
      <c r="AG149" s="109"/>
      <c r="AO149" s="9"/>
      <c r="AP149" s="10"/>
    </row>
    <row r="150" spans="2:42" x14ac:dyDescent="0.25">
      <c r="B150" s="57">
        <f>IFERROR('Daten Auswertung'!Y58,-999)</f>
        <v>433</v>
      </c>
      <c r="C150" s="57">
        <f>IFERROR('Daten Auswertung'!Z58,-999)</f>
        <v>6985</v>
      </c>
      <c r="D150" s="58">
        <f>IFERROR('Daten Auswertung'!AA58,-999)</f>
        <v>-11.9</v>
      </c>
      <c r="E150" s="60">
        <f t="shared" si="34"/>
        <v>261.25</v>
      </c>
      <c r="F150" s="146">
        <f t="shared" si="35"/>
        <v>877</v>
      </c>
      <c r="G150" s="96" t="e">
        <f t="shared" si="36"/>
        <v>#VALUE!</v>
      </c>
      <c r="I150" s="13">
        <f t="shared" si="39"/>
        <v>433</v>
      </c>
      <c r="J150">
        <f t="shared" si="40"/>
        <v>-11.9</v>
      </c>
      <c r="K150">
        <f t="shared" si="20"/>
        <v>261.25</v>
      </c>
      <c r="O150" s="66">
        <f t="shared" si="21"/>
        <v>-0.90469507013149553</v>
      </c>
      <c r="P150" s="10">
        <f t="shared" si="22"/>
        <v>2.4725047436365597</v>
      </c>
      <c r="Q150" s="145">
        <f t="shared" si="23"/>
        <v>433</v>
      </c>
      <c r="R150">
        <f t="shared" si="41"/>
        <v>3.5721248177800532E-3</v>
      </c>
      <c r="S150" s="9">
        <f t="shared" si="29"/>
        <v>3.5721248177800531</v>
      </c>
      <c r="T150" s="114">
        <f t="shared" si="24"/>
        <v>-1.8192333056614472E-5</v>
      </c>
      <c r="U150" s="63">
        <f t="shared" si="25"/>
        <v>6.4076027130123333E-3</v>
      </c>
      <c r="V150" s="113">
        <f t="shared" si="30"/>
        <v>6.4076027130123334</v>
      </c>
      <c r="W150" s="63">
        <f t="shared" si="31"/>
        <v>1.5470416456194715E-2</v>
      </c>
      <c r="X150" s="67">
        <f t="shared" si="32"/>
        <v>15.470416456194714</v>
      </c>
      <c r="Y150" s="63"/>
      <c r="Z150" s="121">
        <f t="shared" si="26"/>
        <v>-11.9</v>
      </c>
      <c r="AA150" s="121">
        <f t="shared" si="33"/>
        <v>-999</v>
      </c>
      <c r="AB150" s="121">
        <f t="shared" si="42"/>
        <v>433</v>
      </c>
      <c r="AC150" s="13"/>
      <c r="AD150" s="84"/>
      <c r="AE150" s="106"/>
      <c r="AF150" s="10"/>
      <c r="AG150" s="109"/>
      <c r="AO150" s="9"/>
      <c r="AP150" s="10"/>
    </row>
    <row r="151" spans="2:42" x14ac:dyDescent="0.25">
      <c r="B151" s="57">
        <f>IFERROR('Daten Auswertung'!Y59,-999)</f>
        <v>409</v>
      </c>
      <c r="C151" s="57">
        <f>IFERROR('Daten Auswertung'!Z59,-999)</f>
        <v>7420</v>
      </c>
      <c r="D151" s="58">
        <f>IFERROR('Daten Auswertung'!AA59,-999)</f>
        <v>-13.8</v>
      </c>
      <c r="E151" s="60">
        <f t="shared" si="34"/>
        <v>259.34999999999997</v>
      </c>
      <c r="F151" s="146">
        <f t="shared" si="35"/>
        <v>435</v>
      </c>
      <c r="G151" s="96" t="e">
        <f t="shared" si="36"/>
        <v>#VALUE!</v>
      </c>
      <c r="I151" s="13">
        <f t="shared" si="39"/>
        <v>409</v>
      </c>
      <c r="J151">
        <f t="shared" si="40"/>
        <v>-13.8</v>
      </c>
      <c r="K151">
        <f t="shared" si="20"/>
        <v>259.34999999999997</v>
      </c>
      <c r="O151" s="66">
        <f t="shared" si="21"/>
        <v>-1.0568282054818949</v>
      </c>
      <c r="P151" s="10">
        <f t="shared" si="22"/>
        <v>2.1235698578295437</v>
      </c>
      <c r="Q151" s="145">
        <f t="shared" si="23"/>
        <v>409</v>
      </c>
      <c r="R151">
        <f t="shared" si="41"/>
        <v>3.2463430017522573E-3</v>
      </c>
      <c r="S151" s="9">
        <f t="shared" si="29"/>
        <v>3.2463430017522574</v>
      </c>
      <c r="T151" s="114">
        <f t="shared" si="24"/>
        <v>-6.8532311636821558E-6</v>
      </c>
      <c r="U151" s="63">
        <f t="shared" si="25"/>
        <v>6.5614606910880877E-3</v>
      </c>
      <c r="V151" s="113">
        <f t="shared" si="30"/>
        <v>6.5614606910880875</v>
      </c>
      <c r="W151" s="63">
        <f t="shared" si="31"/>
        <v>1.6625217578656152E-2</v>
      </c>
      <c r="X151" s="67">
        <f t="shared" si="32"/>
        <v>16.625217578656152</v>
      </c>
      <c r="Y151" s="63"/>
      <c r="Z151" s="121">
        <f t="shared" si="26"/>
        <v>-13.8</v>
      </c>
      <c r="AA151" s="121">
        <f t="shared" si="33"/>
        <v>-999</v>
      </c>
      <c r="AB151" s="121">
        <f t="shared" si="42"/>
        <v>409</v>
      </c>
      <c r="AC151" s="13"/>
      <c r="AD151" s="84"/>
      <c r="AE151" s="106"/>
      <c r="AF151" s="10"/>
      <c r="AG151" s="109"/>
      <c r="AO151" s="9"/>
      <c r="AP151" s="10"/>
    </row>
    <row r="152" spans="2:42" x14ac:dyDescent="0.25">
      <c r="B152" s="57">
        <f>IFERROR('Daten Auswertung'!Y60,-999)</f>
        <v>400</v>
      </c>
      <c r="C152" s="57">
        <f>IFERROR('Daten Auswertung'!Z60,-999)</f>
        <v>7590</v>
      </c>
      <c r="D152" s="58">
        <f>IFERROR('Daten Auswertung'!AA60,-999)</f>
        <v>-14.5</v>
      </c>
      <c r="E152" s="60">
        <f t="shared" si="34"/>
        <v>258.64999999999998</v>
      </c>
      <c r="F152" s="146">
        <f t="shared" si="35"/>
        <v>170</v>
      </c>
      <c r="G152" s="96" t="e">
        <f t="shared" si="36"/>
        <v>#VALUE!</v>
      </c>
      <c r="I152" s="13">
        <f t="shared" si="39"/>
        <v>400</v>
      </c>
      <c r="J152">
        <f t="shared" si="40"/>
        <v>-14.5</v>
      </c>
      <c r="K152">
        <f t="shared" ref="K152:K183" si="43">IF(J152="","",E152)</f>
        <v>258.64999999999998</v>
      </c>
      <c r="O152" s="66">
        <f t="shared" ref="O152:O183" si="44">$H$8/$H$9*(1/273.15-1/E152)</f>
        <v>-1.1134406712753437</v>
      </c>
      <c r="P152" s="10">
        <f t="shared" ref="P152:P183" si="45">$H$10^O152*6.11</f>
        <v>2.0066890035589693</v>
      </c>
      <c r="Q152" s="145">
        <f t="shared" ref="Q152:Q183" si="46">B152</f>
        <v>400</v>
      </c>
      <c r="R152">
        <f t="shared" si="41"/>
        <v>3.1361345171573509E-3</v>
      </c>
      <c r="S152" s="9">
        <f t="shared" si="29"/>
        <v>3.1361345171573509</v>
      </c>
      <c r="T152" s="114">
        <f t="shared" ref="T152:T183" si="47">$H$17/(1+$H$22/$H$20*((R152-Q153)/(E152-E153)))</f>
        <v>-2.7007868790632149E-5</v>
      </c>
      <c r="U152" s="63">
        <f t="shared" ref="U152:U183" si="48">IF(J152="","",$H$19*((1+($H$22*R152)/($H$23*K152)))/(($H$20+($H$22^2*R152*$H$24)/($H$23*K152^2))))</f>
        <v>6.6162145150690209E-3</v>
      </c>
      <c r="V152" s="113">
        <f t="shared" si="30"/>
        <v>6.6162145150690206</v>
      </c>
      <c r="W152" s="63">
        <f t="shared" si="31"/>
        <v>1.7063930695584661E-2</v>
      </c>
      <c r="X152" s="67">
        <f t="shared" si="32"/>
        <v>17.063930695584659</v>
      </c>
      <c r="Y152" s="63"/>
      <c r="Z152" s="121">
        <f t="shared" ref="Z152:Z183" si="49">D152</f>
        <v>-14.5</v>
      </c>
      <c r="AA152" s="121">
        <f t="shared" si="33"/>
        <v>-999</v>
      </c>
      <c r="AB152" s="121">
        <f t="shared" si="42"/>
        <v>400</v>
      </c>
      <c r="AC152" s="13"/>
      <c r="AD152" s="84"/>
      <c r="AE152" s="106"/>
      <c r="AF152" s="10"/>
      <c r="AG152" s="109"/>
      <c r="AO152" s="9"/>
      <c r="AP152" s="10"/>
    </row>
    <row r="153" spans="2:42" x14ac:dyDescent="0.25">
      <c r="B153" s="57">
        <f>IFERROR('Daten Auswertung'!Y61,-999)</f>
        <v>377</v>
      </c>
      <c r="C153" s="57">
        <f>IFERROR('Daten Auswertung'!Z61,-999)</f>
        <v>8034</v>
      </c>
      <c r="D153" s="58">
        <f>IFERROR('Daten Auswertung'!AA61,-999)</f>
        <v>-17.100000000000001</v>
      </c>
      <c r="E153" s="60">
        <f t="shared" si="34"/>
        <v>256.04999999999995</v>
      </c>
      <c r="F153" s="146">
        <f t="shared" si="35"/>
        <v>444</v>
      </c>
      <c r="G153" s="96" t="e">
        <f t="shared" si="36"/>
        <v>#VALUE!</v>
      </c>
      <c r="I153" s="13">
        <f t="shared" si="39"/>
        <v>377</v>
      </c>
      <c r="J153">
        <f t="shared" si="40"/>
        <v>-17.100000000000001</v>
      </c>
      <c r="K153">
        <f t="shared" si="43"/>
        <v>256.04999999999995</v>
      </c>
      <c r="O153" s="66">
        <f t="shared" si="44"/>
        <v>-1.3264255894508201</v>
      </c>
      <c r="P153" s="10">
        <f t="shared" si="45"/>
        <v>1.6217424923697745</v>
      </c>
      <c r="Q153" s="145">
        <f t="shared" si="46"/>
        <v>377</v>
      </c>
      <c r="R153">
        <f t="shared" si="41"/>
        <v>2.6872196513232941E-3</v>
      </c>
      <c r="S153" s="9">
        <f t="shared" si="29"/>
        <v>2.6872196513232942</v>
      </c>
      <c r="T153" s="114">
        <f t="shared" si="47"/>
        <v>-2.8681579305675802E-5</v>
      </c>
      <c r="U153" s="63">
        <f t="shared" si="48"/>
        <v>6.8657048403965469E-3</v>
      </c>
      <c r="V153" s="113">
        <f t="shared" si="30"/>
        <v>6.865704840396547</v>
      </c>
      <c r="W153" s="63">
        <f t="shared" ref="W153:W184" si="50">$H$19*(($H$23*E153^2+$H$22*R153*E153)/(F$20*$H$23*E153^2+$H$22^2*R153*$H$24))</f>
        <v>1.926545766140204E-2</v>
      </c>
      <c r="X153" s="67">
        <f t="shared" si="32"/>
        <v>19.265457661402042</v>
      </c>
      <c r="Y153" s="63"/>
      <c r="Z153" s="121">
        <f t="shared" si="49"/>
        <v>-17.100000000000001</v>
      </c>
      <c r="AA153" s="121">
        <f t="shared" ref="AA153:AA184" si="51">IFERROR(G153,-999)</f>
        <v>-999</v>
      </c>
      <c r="AB153" s="121">
        <f t="shared" si="42"/>
        <v>377</v>
      </c>
      <c r="AC153" s="13"/>
      <c r="AD153" s="84"/>
      <c r="AE153" s="106"/>
      <c r="AF153" s="10"/>
      <c r="AG153" s="109"/>
      <c r="AO153" s="9"/>
      <c r="AP153" s="10"/>
    </row>
    <row r="154" spans="2:42" x14ac:dyDescent="0.25">
      <c r="B154" s="57">
        <f>IFERROR('Daten Auswertung'!Y62,-999)</f>
        <v>355</v>
      </c>
      <c r="C154" s="57">
        <f>IFERROR('Daten Auswertung'!Z62,-999)</f>
        <v>8485</v>
      </c>
      <c r="D154" s="58">
        <f>IFERROR('Daten Auswertung'!AA62,-999)</f>
        <v>-19.7</v>
      </c>
      <c r="E154" s="60">
        <f t="shared" si="34"/>
        <v>253.45</v>
      </c>
      <c r="F154" s="146">
        <f t="shared" si="35"/>
        <v>451</v>
      </c>
      <c r="G154" s="96" t="e">
        <f t="shared" ref="G154:G185" si="52">G153-U153*F153</f>
        <v>#VALUE!</v>
      </c>
      <c r="I154" s="13">
        <f t="shared" si="39"/>
        <v>355</v>
      </c>
      <c r="J154">
        <f t="shared" si="40"/>
        <v>-19.7</v>
      </c>
      <c r="K154">
        <f t="shared" si="43"/>
        <v>253.45</v>
      </c>
      <c r="O154" s="66">
        <f t="shared" si="44"/>
        <v>-1.5437802909149574</v>
      </c>
      <c r="P154" s="10">
        <f t="shared" si="45"/>
        <v>1.3049261932805047</v>
      </c>
      <c r="Q154" s="145">
        <f t="shared" si="46"/>
        <v>355</v>
      </c>
      <c r="R154">
        <f t="shared" si="41"/>
        <v>2.2948131097353551E-3</v>
      </c>
      <c r="S154" s="9">
        <f t="shared" si="29"/>
        <v>2.294813109735355</v>
      </c>
      <c r="T154" s="114">
        <f t="shared" si="47"/>
        <v>-5.2373987600797747E-5</v>
      </c>
      <c r="U154" s="63">
        <f t="shared" si="48"/>
        <v>7.1122213817265741E-3</v>
      </c>
      <c r="V154" s="113">
        <f t="shared" si="30"/>
        <v>7.1122213817265738</v>
      </c>
      <c r="W154" s="63">
        <f t="shared" si="50"/>
        <v>2.1849728935967309E-2</v>
      </c>
      <c r="X154" s="67">
        <f t="shared" si="32"/>
        <v>21.84972893596731</v>
      </c>
      <c r="Y154" s="63"/>
      <c r="Z154" s="121">
        <f t="shared" si="49"/>
        <v>-19.7</v>
      </c>
      <c r="AA154" s="121">
        <f t="shared" si="51"/>
        <v>-999</v>
      </c>
      <c r="AB154" s="121">
        <f t="shared" si="42"/>
        <v>355</v>
      </c>
      <c r="AC154" s="13"/>
      <c r="AD154" s="84"/>
      <c r="AE154" s="106"/>
      <c r="AF154" s="10"/>
      <c r="AG154" s="109"/>
      <c r="AO154" s="9"/>
      <c r="AP154" s="10"/>
    </row>
    <row r="155" spans="2:42" x14ac:dyDescent="0.25">
      <c r="B155" s="57">
        <f>IFERROR('Daten Auswertung'!Y63,-999)</f>
        <v>329</v>
      </c>
      <c r="C155" s="57">
        <f>IFERROR('Daten Auswertung'!Z63,-999)</f>
        <v>9039</v>
      </c>
      <c r="D155" s="58">
        <f>IFERROR('Daten Auswertung'!AA63,-999)</f>
        <v>-24.1</v>
      </c>
      <c r="E155" s="60">
        <f t="shared" si="34"/>
        <v>249.04999999999998</v>
      </c>
      <c r="F155" s="146">
        <f t="shared" si="35"/>
        <v>554</v>
      </c>
      <c r="G155" s="96" t="e">
        <f t="shared" si="52"/>
        <v>#VALUE!</v>
      </c>
      <c r="I155" s="13">
        <f t="shared" si="39"/>
        <v>329</v>
      </c>
      <c r="J155">
        <f t="shared" si="40"/>
        <v>-24.1</v>
      </c>
      <c r="K155">
        <f t="shared" si="43"/>
        <v>249.04999999999998</v>
      </c>
      <c r="O155" s="66">
        <f t="shared" si="44"/>
        <v>-1.9219498796035595</v>
      </c>
      <c r="P155" s="10">
        <f t="shared" si="45"/>
        <v>0.8940235996141852</v>
      </c>
      <c r="Q155" s="145">
        <f t="shared" si="46"/>
        <v>329</v>
      </c>
      <c r="R155">
        <f t="shared" si="41"/>
        <v>1.6948264248665764E-3</v>
      </c>
      <c r="S155" s="9">
        <f t="shared" si="29"/>
        <v>1.6948264248665763</v>
      </c>
      <c r="T155" s="114">
        <f t="shared" si="47"/>
        <v>-6.4836846912586245E-5</v>
      </c>
      <c r="U155" s="63">
        <f t="shared" si="48"/>
        <v>7.5617599502272948E-3</v>
      </c>
      <c r="V155" s="113">
        <f t="shared" si="30"/>
        <v>7.5617599502272945</v>
      </c>
      <c r="W155" s="63">
        <f t="shared" si="50"/>
        <v>2.8047528293656889E-2</v>
      </c>
      <c r="X155" s="67">
        <f t="shared" si="32"/>
        <v>28.047528293656889</v>
      </c>
      <c r="Y155" s="63"/>
      <c r="Z155" s="121">
        <f t="shared" si="49"/>
        <v>-24.1</v>
      </c>
      <c r="AA155" s="121">
        <f t="shared" si="51"/>
        <v>-999</v>
      </c>
      <c r="AB155" s="121">
        <f t="shared" si="42"/>
        <v>329</v>
      </c>
      <c r="AC155" s="13"/>
      <c r="AD155" s="84"/>
      <c r="AE155" s="106"/>
      <c r="AF155" s="10"/>
      <c r="AG155" s="109"/>
      <c r="AO155" s="9"/>
      <c r="AP155" s="10"/>
    </row>
    <row r="156" spans="2:42" x14ac:dyDescent="0.25">
      <c r="B156" s="57">
        <f>IFERROR('Daten Auswertung'!Y64,-999)</f>
        <v>302</v>
      </c>
      <c r="C156" s="57">
        <f>IFERROR('Daten Auswertung'!Z64,-999)</f>
        <v>9663</v>
      </c>
      <c r="D156" s="58">
        <f>IFERROR('Daten Auswertung'!AA64,-999)</f>
        <v>-29.1</v>
      </c>
      <c r="E156" s="60">
        <f t="shared" si="34"/>
        <v>244.04999999999998</v>
      </c>
      <c r="F156" s="146">
        <f t="shared" si="35"/>
        <v>624</v>
      </c>
      <c r="G156" s="96" t="e">
        <f t="shared" si="52"/>
        <v>#VALUE!</v>
      </c>
      <c r="I156" s="13">
        <f t="shared" si="39"/>
        <v>302</v>
      </c>
      <c r="J156">
        <f t="shared" si="40"/>
        <v>-29.1</v>
      </c>
      <c r="K156">
        <f t="shared" si="43"/>
        <v>244.04999999999998</v>
      </c>
      <c r="O156" s="66">
        <f t="shared" si="44"/>
        <v>-2.3682401435822813</v>
      </c>
      <c r="P156" s="10">
        <f t="shared" si="45"/>
        <v>0.57217329491554714</v>
      </c>
      <c r="Q156" s="145">
        <f t="shared" si="46"/>
        <v>302</v>
      </c>
      <c r="R156">
        <f t="shared" si="41"/>
        <v>1.1806865787002245E-3</v>
      </c>
      <c r="S156" s="9">
        <f t="shared" si="29"/>
        <v>1.1806865787002245</v>
      </c>
      <c r="T156" s="114">
        <f t="shared" si="47"/>
        <v>-5.2214867578543505E-6</v>
      </c>
      <c r="U156" s="63">
        <f t="shared" si="48"/>
        <v>8.0339972666996981E-3</v>
      </c>
      <c r="V156" s="113">
        <f t="shared" si="30"/>
        <v>8.0339972666996982</v>
      </c>
      <c r="W156" s="63">
        <f t="shared" si="50"/>
        <v>3.8035028462405029E-2</v>
      </c>
      <c r="X156" s="67">
        <f t="shared" si="32"/>
        <v>38.03502846240503</v>
      </c>
      <c r="Y156" s="63"/>
      <c r="Z156" s="121">
        <f t="shared" si="49"/>
        <v>-29.1</v>
      </c>
      <c r="AA156" s="121">
        <f t="shared" si="51"/>
        <v>-999</v>
      </c>
      <c r="AB156" s="121">
        <f t="shared" si="42"/>
        <v>302</v>
      </c>
      <c r="AC156" s="13"/>
      <c r="AD156" s="84"/>
      <c r="AE156" s="106"/>
      <c r="AF156" s="10"/>
      <c r="AG156" s="109"/>
      <c r="AO156" s="9"/>
      <c r="AP156" s="10"/>
    </row>
    <row r="157" spans="2:42" x14ac:dyDescent="0.25">
      <c r="B157" s="57">
        <f>IFERROR('Daten Auswertung'!Y65,-999)</f>
        <v>300</v>
      </c>
      <c r="C157" s="57">
        <f>IFERROR('Daten Auswertung'!Z65,-999)</f>
        <v>9710</v>
      </c>
      <c r="D157" s="58">
        <f>IFERROR('Daten Auswertung'!AA65,-999)</f>
        <v>-29.5</v>
      </c>
      <c r="E157" s="60">
        <f t="shared" si="34"/>
        <v>243.64999999999998</v>
      </c>
      <c r="F157" s="146">
        <f t="shared" si="35"/>
        <v>47</v>
      </c>
      <c r="G157" s="96" t="e">
        <f t="shared" si="52"/>
        <v>#VALUE!</v>
      </c>
      <c r="I157" s="13">
        <f t="shared" si="39"/>
        <v>300</v>
      </c>
      <c r="J157">
        <f t="shared" si="40"/>
        <v>-29.5</v>
      </c>
      <c r="K157">
        <f t="shared" si="43"/>
        <v>243.64999999999998</v>
      </c>
      <c r="O157" s="66">
        <f t="shared" si="44"/>
        <v>-2.4047346529995246</v>
      </c>
      <c r="P157" s="10">
        <f t="shared" si="45"/>
        <v>0.55166854237806129</v>
      </c>
      <c r="Q157" s="145">
        <f t="shared" si="46"/>
        <v>300</v>
      </c>
      <c r="R157">
        <f t="shared" si="41"/>
        <v>1.1458999677469071E-3</v>
      </c>
      <c r="S157" s="9">
        <f t="shared" si="29"/>
        <v>1.1458999677469071</v>
      </c>
      <c r="T157" s="114">
        <f t="shared" si="47"/>
        <v>-6.9025513864579588E-5</v>
      </c>
      <c r="U157" s="63">
        <f t="shared" si="48"/>
        <v>8.0697241863353086E-3</v>
      </c>
      <c r="V157" s="113">
        <f t="shared" si="30"/>
        <v>8.0697241863353089</v>
      </c>
      <c r="W157" s="63">
        <f t="shared" si="50"/>
        <v>3.9017277583111853E-2</v>
      </c>
      <c r="X157" s="67">
        <f t="shared" si="32"/>
        <v>39.017277583111856</v>
      </c>
      <c r="Y157" s="63"/>
      <c r="Z157" s="121">
        <f t="shared" si="49"/>
        <v>-29.5</v>
      </c>
      <c r="AA157" s="121">
        <f t="shared" si="51"/>
        <v>-999</v>
      </c>
      <c r="AB157" s="121">
        <f t="shared" si="42"/>
        <v>300</v>
      </c>
      <c r="AC157" s="13"/>
      <c r="AD157" s="84"/>
      <c r="AE157" s="106"/>
      <c r="AF157" s="10"/>
      <c r="AG157" s="109"/>
      <c r="AO157" s="9"/>
      <c r="AP157" s="10"/>
    </row>
    <row r="158" spans="2:42" x14ac:dyDescent="0.25">
      <c r="B158" s="57">
        <f>IFERROR('Daten Auswertung'!Y66,-999)</f>
        <v>278</v>
      </c>
      <c r="C158" s="57">
        <f>IFERROR('Daten Auswertung'!Z66,-999)</f>
        <v>10241</v>
      </c>
      <c r="D158" s="58">
        <f>IFERROR('Daten Auswertung'!AA66,-999)</f>
        <v>-34.4</v>
      </c>
      <c r="E158" s="60">
        <f t="shared" si="34"/>
        <v>238.74999999999997</v>
      </c>
      <c r="F158" s="146">
        <f t="shared" si="35"/>
        <v>531</v>
      </c>
      <c r="G158" s="96" t="e">
        <f t="shared" si="52"/>
        <v>#VALUE!</v>
      </c>
      <c r="I158" s="13">
        <f t="shared" si="39"/>
        <v>278</v>
      </c>
      <c r="J158">
        <f t="shared" si="40"/>
        <v>-34.4</v>
      </c>
      <c r="K158">
        <f t="shared" si="43"/>
        <v>238.74999999999997</v>
      </c>
      <c r="O158" s="66">
        <f t="shared" si="44"/>
        <v>-2.8617166070735229</v>
      </c>
      <c r="P158" s="10">
        <f t="shared" si="45"/>
        <v>0.34931197886957999</v>
      </c>
      <c r="Q158" s="145">
        <f t="shared" si="46"/>
        <v>278</v>
      </c>
      <c r="R158">
        <f t="shared" si="41"/>
        <v>7.8253741204611536E-4</v>
      </c>
      <c r="S158" s="9">
        <f t="shared" si="29"/>
        <v>0.78253741204611538</v>
      </c>
      <c r="T158" s="114">
        <f t="shared" si="47"/>
        <v>-9.0965598967686275E-5</v>
      </c>
      <c r="U158" s="63">
        <f t="shared" si="48"/>
        <v>8.479908643200142E-3</v>
      </c>
      <c r="V158" s="113">
        <f t="shared" si="30"/>
        <v>8.479908643200142</v>
      </c>
      <c r="W158" s="63">
        <f t="shared" si="50"/>
        <v>5.4204973448089527E-2</v>
      </c>
      <c r="X158" s="67">
        <f t="shared" si="32"/>
        <v>54.204973448089525</v>
      </c>
      <c r="Y158" s="63"/>
      <c r="Z158" s="121">
        <f t="shared" si="49"/>
        <v>-34.4</v>
      </c>
      <c r="AA158" s="121">
        <f t="shared" si="51"/>
        <v>-999</v>
      </c>
      <c r="AB158" s="121">
        <f t="shared" si="42"/>
        <v>278</v>
      </c>
      <c r="AC158" s="13"/>
      <c r="AD158" s="84"/>
      <c r="AE158" s="106"/>
      <c r="AF158" s="10"/>
      <c r="AG158" s="109"/>
      <c r="AO158" s="9"/>
      <c r="AP158" s="10"/>
    </row>
    <row r="159" spans="2:42" x14ac:dyDescent="0.25">
      <c r="B159" s="57">
        <f>IFERROR('Daten Auswertung'!Y67,-999)</f>
        <v>254</v>
      </c>
      <c r="C159" s="57">
        <f>IFERROR('Daten Auswertung'!Z67,-999)</f>
        <v>10869</v>
      </c>
      <c r="D159" s="58">
        <f>IFERROR('Daten Auswertung'!AA67,-999)</f>
        <v>-40.299999999999997</v>
      </c>
      <c r="E159" s="60">
        <f t="shared" si="34"/>
        <v>232.84999999999997</v>
      </c>
      <c r="F159" s="146">
        <f t="shared" si="35"/>
        <v>628</v>
      </c>
      <c r="G159" s="96" t="e">
        <f t="shared" si="52"/>
        <v>#VALUE!</v>
      </c>
      <c r="I159" s="13">
        <f t="shared" si="39"/>
        <v>254</v>
      </c>
      <c r="J159">
        <f t="shared" si="40"/>
        <v>-40.299999999999997</v>
      </c>
      <c r="K159">
        <f t="shared" si="43"/>
        <v>232.84999999999997</v>
      </c>
      <c r="O159" s="66">
        <f t="shared" si="44"/>
        <v>-3.4374814669506999</v>
      </c>
      <c r="P159" s="10">
        <f t="shared" si="45"/>
        <v>0.19640926821079824</v>
      </c>
      <c r="Q159" s="145">
        <f t="shared" si="46"/>
        <v>254</v>
      </c>
      <c r="R159">
        <f t="shared" si="41"/>
        <v>4.8134293322988438E-4</v>
      </c>
      <c r="S159" s="9">
        <f t="shared" si="29"/>
        <v>0.48134293322988436</v>
      </c>
      <c r="T159" s="114">
        <f t="shared" si="47"/>
        <v>-1.5664445544560557E-5</v>
      </c>
      <c r="U159" s="63">
        <f t="shared" si="48"/>
        <v>8.8840094888176114E-3</v>
      </c>
      <c r="V159" s="113">
        <f t="shared" si="30"/>
        <v>8.8840094888176111</v>
      </c>
      <c r="W159" s="63">
        <f t="shared" si="50"/>
        <v>8.2961865359026485E-2</v>
      </c>
      <c r="X159" s="67">
        <f t="shared" si="32"/>
        <v>82.96186535902649</v>
      </c>
      <c r="Y159" s="63"/>
      <c r="Z159" s="121">
        <f t="shared" si="49"/>
        <v>-40.299999999999997</v>
      </c>
      <c r="AA159" s="121">
        <f t="shared" si="51"/>
        <v>-999</v>
      </c>
      <c r="AB159" s="121">
        <f t="shared" si="42"/>
        <v>254</v>
      </c>
      <c r="AC159" s="13"/>
      <c r="AD159" s="84"/>
      <c r="AE159" s="106"/>
      <c r="AF159" s="10"/>
      <c r="AG159" s="109"/>
      <c r="AO159" s="9"/>
      <c r="AP159" s="10"/>
    </row>
    <row r="160" spans="2:42" x14ac:dyDescent="0.25">
      <c r="B160" s="57">
        <f>IFERROR('Daten Auswertung'!Y68,-999)</f>
        <v>250</v>
      </c>
      <c r="C160" s="57">
        <f>IFERROR('Daten Auswertung'!Z68,-999)</f>
        <v>10980</v>
      </c>
      <c r="D160" s="58">
        <f>IFERROR('Daten Auswertung'!AA68,-999)</f>
        <v>-41.3</v>
      </c>
      <c r="E160" s="60">
        <f t="shared" si="34"/>
        <v>231.84999999999997</v>
      </c>
      <c r="F160" s="146">
        <f t="shared" si="35"/>
        <v>111</v>
      </c>
      <c r="G160" s="96" t="e">
        <f t="shared" si="52"/>
        <v>#VALUE!</v>
      </c>
      <c r="I160" s="13">
        <f t="shared" si="39"/>
        <v>250</v>
      </c>
      <c r="J160">
        <f t="shared" si="40"/>
        <v>-41.3</v>
      </c>
      <c r="K160">
        <f t="shared" si="43"/>
        <v>231.84999999999997</v>
      </c>
      <c r="O160" s="66">
        <f t="shared" si="44"/>
        <v>-3.5379729889353846</v>
      </c>
      <c r="P160" s="10">
        <f t="shared" si="45"/>
        <v>0.17763112406312695</v>
      </c>
      <c r="Q160" s="145">
        <f t="shared" si="46"/>
        <v>250</v>
      </c>
      <c r="R160">
        <f t="shared" si="41"/>
        <v>4.4226047356925508E-4</v>
      </c>
      <c r="S160" s="9">
        <f t="shared" si="29"/>
        <v>0.44226047356925507</v>
      </c>
      <c r="T160" s="114">
        <f t="shared" si="47"/>
        <v>-3.145466488866102E-6</v>
      </c>
      <c r="U160" s="63">
        <f t="shared" si="48"/>
        <v>8.9420111326400445E-3</v>
      </c>
      <c r="V160" s="113">
        <f t="shared" si="30"/>
        <v>8.9420111326400438</v>
      </c>
      <c r="W160" s="63">
        <f t="shared" si="50"/>
        <v>8.9396964132399517E-2</v>
      </c>
      <c r="X160" s="67">
        <f t="shared" si="32"/>
        <v>89.396964132399518</v>
      </c>
      <c r="Y160" s="63"/>
      <c r="Z160" s="121">
        <f t="shared" si="49"/>
        <v>-41.3</v>
      </c>
      <c r="AA160" s="121">
        <f t="shared" si="51"/>
        <v>-999</v>
      </c>
      <c r="AB160" s="121">
        <f t="shared" si="42"/>
        <v>250</v>
      </c>
      <c r="AC160" s="13"/>
      <c r="AD160" s="84"/>
      <c r="AE160" s="106"/>
      <c r="AF160" s="10"/>
      <c r="AG160" s="109"/>
      <c r="AO160" s="9"/>
      <c r="AP160" s="10"/>
    </row>
    <row r="161" spans="2:42" x14ac:dyDescent="0.25">
      <c r="B161" s="57">
        <f>IFERROR('Daten Auswertung'!Y69,-999)</f>
        <v>249</v>
      </c>
      <c r="C161" s="57">
        <f>IFERROR('Daten Auswertung'!Z69,-999)</f>
        <v>11007</v>
      </c>
      <c r="D161" s="58">
        <f>IFERROR('Daten Auswertung'!AA69,-999)</f>
        <v>-41.5</v>
      </c>
      <c r="E161" s="60">
        <f t="shared" si="34"/>
        <v>231.64999999999998</v>
      </c>
      <c r="F161" s="146">
        <f t="shared" si="35"/>
        <v>27</v>
      </c>
      <c r="G161" s="96" t="e">
        <f t="shared" si="52"/>
        <v>#VALUE!</v>
      </c>
      <c r="I161" s="13">
        <f t="shared" si="39"/>
        <v>249</v>
      </c>
      <c r="J161">
        <f t="shared" si="40"/>
        <v>-41.5</v>
      </c>
      <c r="K161">
        <f t="shared" si="43"/>
        <v>231.64999999999998</v>
      </c>
      <c r="O161" s="66">
        <f t="shared" si="44"/>
        <v>-3.558175407147453</v>
      </c>
      <c r="P161" s="10">
        <f t="shared" si="45"/>
        <v>0.17407855190899177</v>
      </c>
      <c r="Q161" s="145">
        <f t="shared" si="46"/>
        <v>249</v>
      </c>
      <c r="R161">
        <f t="shared" si="41"/>
        <v>4.3515104317610705E-4</v>
      </c>
      <c r="S161" s="9">
        <f t="shared" si="29"/>
        <v>0.43515104317610703</v>
      </c>
      <c r="T161" s="114">
        <f t="shared" si="47"/>
        <v>-2.4173544895796074E-5</v>
      </c>
      <c r="U161" s="63">
        <f t="shared" si="48"/>
        <v>8.952658193839615E-3</v>
      </c>
      <c r="V161" s="113">
        <f t="shared" si="30"/>
        <v>8.9526581938396141</v>
      </c>
      <c r="W161" s="63">
        <f t="shared" si="50"/>
        <v>9.0678252841372223E-2</v>
      </c>
      <c r="X161" s="67">
        <f t="shared" si="32"/>
        <v>90.678252841372228</v>
      </c>
      <c r="Y161" s="63"/>
      <c r="Z161" s="121">
        <f t="shared" si="49"/>
        <v>-41.5</v>
      </c>
      <c r="AA161" s="121">
        <f t="shared" si="51"/>
        <v>-999</v>
      </c>
      <c r="AB161" s="121">
        <f t="shared" si="42"/>
        <v>249</v>
      </c>
      <c r="AC161" s="13"/>
      <c r="AD161" s="84"/>
      <c r="AE161" s="106"/>
      <c r="AF161" s="10"/>
      <c r="AG161" s="109"/>
      <c r="AO161" s="9"/>
      <c r="AP161" s="10"/>
    </row>
    <row r="162" spans="2:42" x14ac:dyDescent="0.25">
      <c r="B162" s="57">
        <f>IFERROR('Daten Auswertung'!Y70,-999)</f>
        <v>243</v>
      </c>
      <c r="C162" s="57">
        <f>IFERROR('Daten Auswertung'!Z70,-999)</f>
        <v>11171</v>
      </c>
      <c r="D162" s="58">
        <f>IFERROR('Daten Auswertung'!AA70,-999)</f>
        <v>-43</v>
      </c>
      <c r="E162" s="60">
        <f t="shared" si="34"/>
        <v>230.14999999999998</v>
      </c>
      <c r="F162" s="146">
        <f t="shared" si="35"/>
        <v>164</v>
      </c>
      <c r="G162" s="96" t="e">
        <f t="shared" si="52"/>
        <v>#VALUE!</v>
      </c>
      <c r="I162" s="13">
        <f t="shared" si="39"/>
        <v>243</v>
      </c>
      <c r="J162">
        <f t="shared" si="40"/>
        <v>-43</v>
      </c>
      <c r="K162">
        <f t="shared" si="43"/>
        <v>230.14999999999998</v>
      </c>
      <c r="O162" s="66">
        <f t="shared" si="44"/>
        <v>-3.7108127304953471</v>
      </c>
      <c r="P162" s="10">
        <f t="shared" si="45"/>
        <v>0.14943616650525357</v>
      </c>
      <c r="Q162" s="145">
        <f t="shared" si="46"/>
        <v>243</v>
      </c>
      <c r="R162">
        <f t="shared" si="41"/>
        <v>3.8274276204685443E-4</v>
      </c>
      <c r="S162" s="9">
        <f t="shared" si="29"/>
        <v>0.38274276204685442</v>
      </c>
      <c r="T162" s="114">
        <f t="shared" si="47"/>
        <v>-4.8546764907083173E-6</v>
      </c>
      <c r="U162" s="63">
        <f t="shared" si="48"/>
        <v>9.0332725354813157E-3</v>
      </c>
      <c r="V162" s="113">
        <f t="shared" si="30"/>
        <v>9.0332725354813164</v>
      </c>
      <c r="W162" s="63">
        <f t="shared" si="50"/>
        <v>0.10157584984473564</v>
      </c>
      <c r="X162" s="67">
        <f t="shared" si="32"/>
        <v>101.57584984473564</v>
      </c>
      <c r="Y162" s="63"/>
      <c r="Z162" s="121">
        <f t="shared" si="49"/>
        <v>-43</v>
      </c>
      <c r="AA162" s="121">
        <f t="shared" si="51"/>
        <v>-999</v>
      </c>
      <c r="AB162" s="121">
        <f t="shared" si="42"/>
        <v>243</v>
      </c>
      <c r="AC162" s="13"/>
      <c r="AD162" s="84"/>
      <c r="AE162" s="106"/>
      <c r="AF162" s="10"/>
      <c r="AG162" s="109"/>
      <c r="AO162" s="9"/>
      <c r="AP162" s="10"/>
    </row>
    <row r="163" spans="2:42" x14ac:dyDescent="0.25">
      <c r="B163" s="57">
        <f>IFERROR('Daten Auswertung'!Y71,-999)</f>
        <v>242</v>
      </c>
      <c r="C163" s="57">
        <f>IFERROR('Daten Auswertung'!Z71,-999)</f>
        <v>11199</v>
      </c>
      <c r="D163" s="58">
        <f>IFERROR('Daten Auswertung'!AA71,-999)</f>
        <v>-43.3</v>
      </c>
      <c r="E163" s="60">
        <f t="shared" si="34"/>
        <v>229.84999999999997</v>
      </c>
      <c r="F163" s="146">
        <f t="shared" si="35"/>
        <v>28</v>
      </c>
      <c r="G163" s="96" t="e">
        <f t="shared" si="52"/>
        <v>#VALUE!</v>
      </c>
      <c r="I163" s="13">
        <f t="shared" si="39"/>
        <v>242</v>
      </c>
      <c r="J163">
        <f t="shared" si="40"/>
        <v>-43.3</v>
      </c>
      <c r="K163">
        <f t="shared" si="43"/>
        <v>229.84999999999997</v>
      </c>
      <c r="O163" s="66">
        <f t="shared" si="44"/>
        <v>-3.741579261670934</v>
      </c>
      <c r="P163" s="10">
        <f t="shared" si="45"/>
        <v>0.14490854083873125</v>
      </c>
      <c r="Q163" s="145">
        <f t="shared" si="46"/>
        <v>242</v>
      </c>
      <c r="R163">
        <f t="shared" si="41"/>
        <v>3.7267403327297897E-4</v>
      </c>
      <c r="S163" s="9">
        <f t="shared" si="29"/>
        <v>0.37267403327297899</v>
      </c>
      <c r="T163" s="114">
        <f t="shared" si="47"/>
        <v>-9.3843032664979177E-5</v>
      </c>
      <c r="U163" s="63">
        <f t="shared" si="48"/>
        <v>9.0491655881287988E-3</v>
      </c>
      <c r="V163" s="113">
        <f t="shared" si="30"/>
        <v>9.0491655881287993</v>
      </c>
      <c r="W163" s="63">
        <f t="shared" si="50"/>
        <v>0.10401118102248486</v>
      </c>
      <c r="X163" s="67">
        <f t="shared" si="32"/>
        <v>104.01118102248486</v>
      </c>
      <c r="Y163" s="63"/>
      <c r="Z163" s="121">
        <f t="shared" si="49"/>
        <v>-43.3</v>
      </c>
      <c r="AA163" s="121">
        <f t="shared" si="51"/>
        <v>-999</v>
      </c>
      <c r="AB163" s="121">
        <f t="shared" si="42"/>
        <v>242</v>
      </c>
      <c r="AC163" s="13"/>
      <c r="AD163" s="84"/>
      <c r="AE163" s="106"/>
      <c r="AF163" s="10"/>
      <c r="AG163" s="109"/>
      <c r="AO163" s="9"/>
      <c r="AP163" s="10"/>
    </row>
    <row r="164" spans="2:42" x14ac:dyDescent="0.25">
      <c r="B164" s="57">
        <f>IFERROR('Daten Auswertung'!Y72,-999)</f>
        <v>217</v>
      </c>
      <c r="C164" s="57">
        <f>IFERROR('Daten Auswertung'!Z72,-999)</f>
        <v>11922</v>
      </c>
      <c r="D164" s="58">
        <f>IFERROR('Daten Auswertung'!AA72,-999)</f>
        <v>-48.5</v>
      </c>
      <c r="E164" s="60">
        <f t="shared" si="34"/>
        <v>224.64999999999998</v>
      </c>
      <c r="F164" s="146">
        <f t="shared" si="35"/>
        <v>723</v>
      </c>
      <c r="G164" s="96" t="e">
        <f t="shared" si="52"/>
        <v>#VALUE!</v>
      </c>
      <c r="I164" s="13">
        <f t="shared" si="39"/>
        <v>217</v>
      </c>
      <c r="J164">
        <f t="shared" si="40"/>
        <v>-48.5</v>
      </c>
      <c r="K164">
        <f t="shared" si="43"/>
        <v>224.64999999999998</v>
      </c>
      <c r="O164" s="66">
        <f t="shared" si="44"/>
        <v>-4.2879220049058198</v>
      </c>
      <c r="P164" s="10">
        <f t="shared" si="45"/>
        <v>8.391127976068935E-2</v>
      </c>
      <c r="Q164" s="145">
        <f t="shared" si="46"/>
        <v>217</v>
      </c>
      <c r="R164">
        <f t="shared" si="41"/>
        <v>2.4061293156757408E-4</v>
      </c>
      <c r="S164" s="9">
        <f t="shared" si="29"/>
        <v>0.24061293156757407</v>
      </c>
      <c r="T164" s="114">
        <f t="shared" si="47"/>
        <v>-1.4571563870869223E-5</v>
      </c>
      <c r="U164" s="63">
        <f t="shared" si="48"/>
        <v>9.2677187127526671E-3</v>
      </c>
      <c r="V164" s="113">
        <f t="shared" si="30"/>
        <v>9.2677187127526679</v>
      </c>
      <c r="W164" s="63">
        <f t="shared" si="50"/>
        <v>0.15316355604821419</v>
      </c>
      <c r="X164" s="67">
        <f t="shared" si="32"/>
        <v>153.16355604821419</v>
      </c>
      <c r="Y164" s="63"/>
      <c r="Z164" s="121">
        <f t="shared" si="49"/>
        <v>-48.5</v>
      </c>
      <c r="AA164" s="121">
        <f t="shared" si="51"/>
        <v>-999</v>
      </c>
      <c r="AB164" s="121">
        <f t="shared" si="42"/>
        <v>217</v>
      </c>
      <c r="AC164" s="13"/>
      <c r="AD164" s="84"/>
      <c r="AE164" s="106"/>
      <c r="AF164" s="10"/>
      <c r="AG164" s="109"/>
      <c r="AO164" s="9"/>
      <c r="AP164" s="10"/>
    </row>
    <row r="165" spans="2:42" x14ac:dyDescent="0.25">
      <c r="B165" s="57">
        <f>IFERROR('Daten Auswertung'!Y73,-999)</f>
        <v>215</v>
      </c>
      <c r="C165" s="57">
        <f>IFERROR('Daten Auswertung'!Z73,-999)</f>
        <v>11982</v>
      </c>
      <c r="D165" s="58">
        <f>IFERROR('Daten Auswertung'!AA73,-999)</f>
        <v>-49.3</v>
      </c>
      <c r="E165" s="60">
        <f t="shared" si="34"/>
        <v>223.84999999999997</v>
      </c>
      <c r="F165" s="146">
        <f t="shared" si="35"/>
        <v>60</v>
      </c>
      <c r="G165" s="96" t="e">
        <f t="shared" si="52"/>
        <v>#VALUE!</v>
      </c>
      <c r="I165" s="13">
        <f t="shared" si="39"/>
        <v>215</v>
      </c>
      <c r="J165">
        <f t="shared" si="40"/>
        <v>-49.3</v>
      </c>
      <c r="K165">
        <f t="shared" si="43"/>
        <v>223.84999999999997</v>
      </c>
      <c r="O165" s="66">
        <f t="shared" si="44"/>
        <v>-4.3742276556901984</v>
      </c>
      <c r="P165" s="10">
        <f t="shared" si="45"/>
        <v>7.6972975796558443E-2</v>
      </c>
      <c r="Q165" s="145">
        <f t="shared" si="46"/>
        <v>215</v>
      </c>
      <c r="R165">
        <f t="shared" si="41"/>
        <v>2.2276436177342545E-4</v>
      </c>
      <c r="S165" s="9">
        <f t="shared" si="29"/>
        <v>0.22276436177342546</v>
      </c>
      <c r="T165" s="114">
        <f t="shared" si="47"/>
        <v>-3.3727308525884125E-5</v>
      </c>
      <c r="U165" s="63">
        <f t="shared" si="48"/>
        <v>9.2996562754997028E-3</v>
      </c>
      <c r="V165" s="113">
        <f t="shared" si="30"/>
        <v>9.2996562754997036</v>
      </c>
      <c r="W165" s="63">
        <f t="shared" si="50"/>
        <v>0.16415168051360829</v>
      </c>
      <c r="X165" s="67">
        <f t="shared" si="32"/>
        <v>164.15168051360828</v>
      </c>
      <c r="Y165" s="63"/>
      <c r="Z165" s="121">
        <f t="shared" si="49"/>
        <v>-49.3</v>
      </c>
      <c r="AA165" s="121">
        <f t="shared" si="51"/>
        <v>-999</v>
      </c>
      <c r="AB165" s="121">
        <f t="shared" si="42"/>
        <v>215</v>
      </c>
      <c r="AC165" s="13"/>
      <c r="AD165" s="84"/>
      <c r="AE165" s="106"/>
      <c r="AF165" s="10"/>
      <c r="AG165" s="109"/>
      <c r="AO165" s="9"/>
      <c r="AP165" s="10"/>
    </row>
    <row r="166" spans="2:42" x14ac:dyDescent="0.25">
      <c r="B166" s="57">
        <f>IFERROR('Daten Auswertung'!Y74,-999)</f>
        <v>209</v>
      </c>
      <c r="C166" s="57">
        <f>IFERROR('Daten Auswertung'!Z74,-999)</f>
        <v>12166</v>
      </c>
      <c r="D166" s="58">
        <f>IFERROR('Daten Auswertung'!AA74,-999)</f>
        <v>-51.1</v>
      </c>
      <c r="E166" s="60">
        <f t="shared" si="34"/>
        <v>222.04999999999998</v>
      </c>
      <c r="F166" s="146">
        <f t="shared" si="35"/>
        <v>184</v>
      </c>
      <c r="G166" s="96" t="e">
        <f t="shared" si="52"/>
        <v>#VALUE!</v>
      </c>
      <c r="I166" s="13">
        <f t="shared" si="39"/>
        <v>209</v>
      </c>
      <c r="J166">
        <f t="shared" si="40"/>
        <v>-51.1</v>
      </c>
      <c r="K166">
        <f t="shared" si="43"/>
        <v>222.04999999999998</v>
      </c>
      <c r="O166" s="66">
        <f t="shared" si="44"/>
        <v>-4.5706891283747204</v>
      </c>
      <c r="P166" s="10">
        <f t="shared" si="45"/>
        <v>6.3243535945203613E-2</v>
      </c>
      <c r="Q166" s="145">
        <f t="shared" si="46"/>
        <v>209</v>
      </c>
      <c r="R166">
        <f t="shared" si="41"/>
        <v>1.8827457659267442E-4</v>
      </c>
      <c r="S166" s="9">
        <f t="shared" si="29"/>
        <v>0.18827457659267444</v>
      </c>
      <c r="T166" s="114">
        <f t="shared" si="47"/>
        <v>-4.6993441237559445E-5</v>
      </c>
      <c r="U166" s="63">
        <f t="shared" si="48"/>
        <v>9.3626507085355758E-3</v>
      </c>
      <c r="V166" s="113">
        <f t="shared" si="30"/>
        <v>9.3626507085355755</v>
      </c>
      <c r="W166" s="63">
        <f t="shared" si="50"/>
        <v>0.19086832319867814</v>
      </c>
      <c r="X166" s="67">
        <f t="shared" si="32"/>
        <v>190.86832319867813</v>
      </c>
      <c r="Y166" s="63"/>
      <c r="Z166" s="121">
        <f t="shared" si="49"/>
        <v>-51.1</v>
      </c>
      <c r="AA166" s="121">
        <f t="shared" si="51"/>
        <v>-999</v>
      </c>
      <c r="AB166" s="121">
        <f t="shared" si="42"/>
        <v>209</v>
      </c>
      <c r="AC166" s="13"/>
      <c r="AD166" s="84"/>
      <c r="AE166" s="106"/>
      <c r="AF166" s="10"/>
      <c r="AG166" s="109"/>
      <c r="AO166" s="9"/>
      <c r="AP166" s="10"/>
    </row>
    <row r="167" spans="2:42" x14ac:dyDescent="0.25">
      <c r="B167" s="57">
        <f>IFERROR('Daten Auswertung'!Y75,-999)</f>
        <v>200</v>
      </c>
      <c r="C167" s="57">
        <f>IFERROR('Daten Auswertung'!Z75,-999)</f>
        <v>12450</v>
      </c>
      <c r="D167" s="58">
        <f>IFERROR('Daten Auswertung'!AA75,-999)</f>
        <v>-53.5</v>
      </c>
      <c r="E167" s="60">
        <f t="shared" si="34"/>
        <v>219.64999999999998</v>
      </c>
      <c r="F167" s="146">
        <f t="shared" si="35"/>
        <v>284</v>
      </c>
      <c r="G167" s="96" t="e">
        <f t="shared" si="52"/>
        <v>#VALUE!</v>
      </c>
      <c r="I167" s="13">
        <f t="shared" si="39"/>
        <v>200</v>
      </c>
      <c r="J167">
        <f t="shared" si="40"/>
        <v>-53.5</v>
      </c>
      <c r="K167">
        <f t="shared" si="43"/>
        <v>219.64999999999998</v>
      </c>
      <c r="O167" s="66">
        <f t="shared" si="44"/>
        <v>-4.8376465646623306</v>
      </c>
      <c r="P167" s="10">
        <f t="shared" si="45"/>
        <v>4.8425933561418673E-2</v>
      </c>
      <c r="Q167" s="145">
        <f t="shared" si="46"/>
        <v>200</v>
      </c>
      <c r="R167">
        <f t="shared" si="41"/>
        <v>1.5064112806230788E-4</v>
      </c>
      <c r="S167" s="9">
        <f t="shared" si="29"/>
        <v>0.15064112806230787</v>
      </c>
      <c r="T167" s="114">
        <f t="shared" si="47"/>
        <v>-2.3976184842863477E-5</v>
      </c>
      <c r="U167" s="63">
        <f t="shared" si="48"/>
        <v>9.4338883785315703E-3</v>
      </c>
      <c r="V167" s="113">
        <f t="shared" si="30"/>
        <v>9.4338883785315701</v>
      </c>
      <c r="W167" s="63">
        <f t="shared" si="50"/>
        <v>0.23309531710205084</v>
      </c>
      <c r="X167" s="67">
        <f t="shared" si="32"/>
        <v>233.09531710205084</v>
      </c>
      <c r="Y167" s="63"/>
      <c r="Z167" s="121">
        <f t="shared" si="49"/>
        <v>-53.5</v>
      </c>
      <c r="AA167" s="121">
        <f t="shared" si="51"/>
        <v>-999</v>
      </c>
      <c r="AB167" s="121">
        <f t="shared" si="42"/>
        <v>200</v>
      </c>
      <c r="AC167" s="13"/>
      <c r="AD167" s="84"/>
      <c r="AE167" s="106"/>
      <c r="AF167" s="10"/>
      <c r="AG167" s="109"/>
      <c r="AO167" s="9"/>
      <c r="AP167" s="10"/>
    </row>
    <row r="168" spans="2:42" x14ac:dyDescent="0.25">
      <c r="B168" s="57">
        <f>IFERROR('Daten Auswertung'!Y76,-999)</f>
        <v>196</v>
      </c>
      <c r="C168" s="57">
        <f>IFERROR('Daten Auswertung'!Z76,-999)</f>
        <v>12580</v>
      </c>
      <c r="D168" s="58">
        <f>IFERROR('Daten Auswertung'!AA76,-999)</f>
        <v>-54.7</v>
      </c>
      <c r="E168" s="60">
        <f t="shared" si="34"/>
        <v>218.45</v>
      </c>
      <c r="F168" s="146">
        <f t="shared" si="35"/>
        <v>130</v>
      </c>
      <c r="G168" s="96" t="e">
        <f t="shared" si="52"/>
        <v>#VALUE!</v>
      </c>
      <c r="I168" s="13">
        <f t="shared" si="39"/>
        <v>196</v>
      </c>
      <c r="J168">
        <f t="shared" si="40"/>
        <v>-54.7</v>
      </c>
      <c r="K168">
        <f t="shared" si="43"/>
        <v>218.45</v>
      </c>
      <c r="O168" s="66">
        <f t="shared" si="44"/>
        <v>-4.9733249778636681</v>
      </c>
      <c r="P168" s="10">
        <f t="shared" si="45"/>
        <v>4.2281814417819912E-2</v>
      </c>
      <c r="Q168" s="145">
        <f t="shared" si="46"/>
        <v>196</v>
      </c>
      <c r="R168">
        <f t="shared" si="41"/>
        <v>1.342089957537533E-4</v>
      </c>
      <c r="S168" s="9">
        <f t="shared" si="29"/>
        <v>0.13420899575375331</v>
      </c>
      <c r="T168" s="114">
        <f t="shared" si="47"/>
        <v>-5.0803729120920827E-5</v>
      </c>
      <c r="U168" s="63">
        <f t="shared" si="48"/>
        <v>9.4660793352908616E-3</v>
      </c>
      <c r="V168" s="113">
        <f t="shared" si="30"/>
        <v>9.4660793352908623</v>
      </c>
      <c r="W168" s="63">
        <f t="shared" si="50"/>
        <v>0.25862366665270997</v>
      </c>
      <c r="X168" s="67">
        <f t="shared" si="32"/>
        <v>258.62366665270997</v>
      </c>
      <c r="Y168" s="63"/>
      <c r="Z168" s="121">
        <f t="shared" si="49"/>
        <v>-54.7</v>
      </c>
      <c r="AA168" s="121">
        <f t="shared" si="51"/>
        <v>-999</v>
      </c>
      <c r="AB168" s="121">
        <f t="shared" si="42"/>
        <v>196</v>
      </c>
      <c r="AC168" s="13"/>
      <c r="AD168" s="84"/>
      <c r="AE168" s="106"/>
      <c r="AF168" s="10"/>
      <c r="AG168" s="109"/>
      <c r="AO168" s="9"/>
      <c r="AP168" s="10"/>
    </row>
    <row r="169" spans="2:42" x14ac:dyDescent="0.25">
      <c r="B169" s="57">
        <f>IFERROR('Daten Auswertung'!Y77,-999)</f>
        <v>185</v>
      </c>
      <c r="C169" s="57">
        <f>IFERROR('Daten Auswertung'!Z77,-999)</f>
        <v>12948</v>
      </c>
      <c r="D169" s="58">
        <f>IFERROR('Daten Auswertung'!AA77,-999)</f>
        <v>-57.1</v>
      </c>
      <c r="E169" s="60">
        <f t="shared" si="34"/>
        <v>216.04999999999998</v>
      </c>
      <c r="F169" s="146">
        <f t="shared" si="35"/>
        <v>368</v>
      </c>
      <c r="G169" s="96" t="e">
        <f t="shared" si="52"/>
        <v>#VALUE!</v>
      </c>
      <c r="I169" s="13">
        <f t="shared" si="39"/>
        <v>185</v>
      </c>
      <c r="J169">
        <f t="shared" si="40"/>
        <v>-57.1</v>
      </c>
      <c r="K169">
        <f t="shared" si="43"/>
        <v>216.04999999999998</v>
      </c>
      <c r="O169" s="66">
        <f t="shared" si="44"/>
        <v>-5.2492033713806672</v>
      </c>
      <c r="P169" s="10">
        <f t="shared" si="45"/>
        <v>3.2087889374604411E-2</v>
      </c>
      <c r="Q169" s="145">
        <f t="shared" si="46"/>
        <v>185</v>
      </c>
      <c r="R169">
        <f t="shared" si="41"/>
        <v>1.0790340315387832E-4</v>
      </c>
      <c r="S169" s="9">
        <f t="shared" si="29"/>
        <v>0.10790340315387832</v>
      </c>
      <c r="T169" s="114" t="e">
        <f t="shared" si="47"/>
        <v>#DIV/0!</v>
      </c>
      <c r="U169" s="63">
        <f t="shared" si="48"/>
        <v>9.5186793095722241E-3</v>
      </c>
      <c r="V169" s="113">
        <f t="shared" si="30"/>
        <v>9.5186793095722244</v>
      </c>
      <c r="W169" s="63">
        <f t="shared" si="50"/>
        <v>0.31433035610616117</v>
      </c>
      <c r="X169" s="67">
        <f t="shared" si="32"/>
        <v>314.33035610616116</v>
      </c>
      <c r="Y169" s="63"/>
      <c r="Z169" s="121">
        <f t="shared" si="49"/>
        <v>-57.1</v>
      </c>
      <c r="AA169" s="121">
        <f t="shared" si="51"/>
        <v>-999</v>
      </c>
      <c r="AB169" s="121">
        <f t="shared" si="42"/>
        <v>185</v>
      </c>
      <c r="AC169" s="13"/>
      <c r="AD169" s="84"/>
      <c r="AE169" s="106"/>
      <c r="AF169" s="10"/>
      <c r="AG169" s="109"/>
      <c r="AO169" s="9"/>
      <c r="AP169" s="10"/>
    </row>
    <row r="170" spans="2:42" x14ac:dyDescent="0.25">
      <c r="B170" s="57">
        <f>IFERROR('Daten Auswertung'!Y78,-999)</f>
        <v>184</v>
      </c>
      <c r="C170" s="57">
        <f>IFERROR('Daten Auswertung'!Z78,-999)</f>
        <v>12982</v>
      </c>
      <c r="D170" s="58">
        <f>IFERROR('Daten Auswertung'!AA78,-999)</f>
        <v>-57.1</v>
      </c>
      <c r="E170" s="60">
        <f t="shared" si="34"/>
        <v>216.04999999999998</v>
      </c>
      <c r="F170" s="146">
        <f t="shared" si="35"/>
        <v>34</v>
      </c>
      <c r="G170" s="96" t="e">
        <f t="shared" si="52"/>
        <v>#VALUE!</v>
      </c>
      <c r="I170" s="13">
        <f t="shared" si="39"/>
        <v>184</v>
      </c>
      <c r="J170">
        <f t="shared" si="40"/>
        <v>-57.1</v>
      </c>
      <c r="K170">
        <f t="shared" si="43"/>
        <v>216.04999999999998</v>
      </c>
      <c r="O170" s="66">
        <f t="shared" si="44"/>
        <v>-5.2492033713806672</v>
      </c>
      <c r="P170" s="10">
        <f t="shared" si="45"/>
        <v>3.2087889374604411E-2</v>
      </c>
      <c r="Q170" s="145">
        <f t="shared" si="46"/>
        <v>184</v>
      </c>
      <c r="R170">
        <f t="shared" si="41"/>
        <v>1.0848993697880422E-4</v>
      </c>
      <c r="S170" s="9">
        <f t="shared" si="29"/>
        <v>0.10848993697880423</v>
      </c>
      <c r="T170" s="114">
        <f t="shared" si="47"/>
        <v>-4.3512240746434035E-6</v>
      </c>
      <c r="U170" s="63">
        <f t="shared" si="48"/>
        <v>9.5173369025550163E-3</v>
      </c>
      <c r="V170" s="113">
        <f t="shared" si="30"/>
        <v>9.5173369025550159</v>
      </c>
      <c r="W170" s="63">
        <f t="shared" si="50"/>
        <v>0.31263834239330668</v>
      </c>
      <c r="X170" s="67">
        <f t="shared" si="32"/>
        <v>312.63834239330669</v>
      </c>
      <c r="Y170" s="63"/>
      <c r="Z170" s="121">
        <f t="shared" si="49"/>
        <v>-57.1</v>
      </c>
      <c r="AA170" s="121">
        <f t="shared" si="51"/>
        <v>-999</v>
      </c>
      <c r="AB170" s="121">
        <f t="shared" si="42"/>
        <v>184</v>
      </c>
      <c r="AC170" s="13"/>
      <c r="AD170" s="84"/>
      <c r="AE170" s="106"/>
      <c r="AF170" s="10"/>
      <c r="AG170" s="109"/>
      <c r="AO170" s="9"/>
      <c r="AP170" s="10"/>
    </row>
    <row r="171" spans="2:42" x14ac:dyDescent="0.25">
      <c r="B171" s="57">
        <f>IFERROR('Daten Auswertung'!Y79,-999)</f>
        <v>180</v>
      </c>
      <c r="C171" s="57">
        <f>IFERROR('Daten Auswertung'!Z79,-999)</f>
        <v>13121</v>
      </c>
      <c r="D171" s="58">
        <f>IFERROR('Daten Auswertung'!AA79,-999)</f>
        <v>-57.3</v>
      </c>
      <c r="E171" s="60">
        <f t="shared" si="34"/>
        <v>215.84999999999997</v>
      </c>
      <c r="F171" s="146">
        <f t="shared" si="35"/>
        <v>139</v>
      </c>
      <c r="G171" s="96" t="e">
        <f t="shared" si="52"/>
        <v>#VALUE!</v>
      </c>
      <c r="I171" s="13">
        <f t="shared" si="39"/>
        <v>180</v>
      </c>
      <c r="J171">
        <f t="shared" si="40"/>
        <v>-57.3</v>
      </c>
      <c r="K171">
        <f t="shared" si="43"/>
        <v>215.84999999999997</v>
      </c>
      <c r="O171" s="66">
        <f t="shared" si="44"/>
        <v>-5.2724701596841905</v>
      </c>
      <c r="P171" s="10">
        <f t="shared" si="45"/>
        <v>3.1349925560047835E-2</v>
      </c>
      <c r="Q171" s="145">
        <f t="shared" si="46"/>
        <v>180</v>
      </c>
      <c r="R171">
        <f t="shared" si="41"/>
        <v>1.0835028039763682E-4</v>
      </c>
      <c r="S171" s="9">
        <f t="shared" si="29"/>
        <v>0.10835028039763682</v>
      </c>
      <c r="T171" s="114">
        <f t="shared" si="47"/>
        <v>-1.1461891135318796E-4</v>
      </c>
      <c r="U171" s="63">
        <f t="shared" si="48"/>
        <v>9.5171583966418925E-3</v>
      </c>
      <c r="V171" s="113">
        <f t="shared" si="30"/>
        <v>9.5171583966418929</v>
      </c>
      <c r="W171" s="63">
        <f t="shared" si="50"/>
        <v>0.3124615168319253</v>
      </c>
      <c r="X171" s="67">
        <f t="shared" si="32"/>
        <v>312.46151683192528</v>
      </c>
      <c r="Y171" s="63"/>
      <c r="Z171" s="121">
        <f t="shared" si="49"/>
        <v>-57.3</v>
      </c>
      <c r="AA171" s="121">
        <f t="shared" si="51"/>
        <v>-999</v>
      </c>
      <c r="AB171" s="121">
        <f t="shared" si="42"/>
        <v>180</v>
      </c>
      <c r="AC171" s="13"/>
      <c r="AD171" s="84"/>
      <c r="AE171" s="106"/>
      <c r="AF171" s="10"/>
      <c r="AG171" s="109"/>
      <c r="AO171" s="9"/>
      <c r="AP171" s="10"/>
    </row>
    <row r="172" spans="2:42" x14ac:dyDescent="0.25">
      <c r="B172" s="57">
        <f>IFERROR('Daten Auswertung'!Y80,-999)</f>
        <v>164</v>
      </c>
      <c r="C172" s="57">
        <f>IFERROR('Daten Auswertung'!Z80,-999)</f>
        <v>13698</v>
      </c>
      <c r="D172" s="58">
        <f>IFERROR('Daten Auswertung'!AA80,-999)</f>
        <v>-62.1</v>
      </c>
      <c r="E172" s="60">
        <f t="shared" si="34"/>
        <v>211.04999999999998</v>
      </c>
      <c r="F172" s="146">
        <f t="shared" si="35"/>
        <v>577</v>
      </c>
      <c r="G172" s="96" t="e">
        <f t="shared" si="52"/>
        <v>#VALUE!</v>
      </c>
      <c r="I172" s="13">
        <f t="shared" si="39"/>
        <v>164</v>
      </c>
      <c r="J172">
        <f t="shared" si="40"/>
        <v>-62.1</v>
      </c>
      <c r="K172">
        <f t="shared" si="43"/>
        <v>211.04999999999998</v>
      </c>
      <c r="O172" s="66">
        <f t="shared" si="44"/>
        <v>-5.8441022407618197</v>
      </c>
      <c r="P172" s="10">
        <f t="shared" si="45"/>
        <v>1.770026854556955E-2</v>
      </c>
      <c r="Q172" s="145">
        <f t="shared" si="46"/>
        <v>164</v>
      </c>
      <c r="R172">
        <f t="shared" si="41"/>
        <v>6.7138752495690549E-5</v>
      </c>
      <c r="S172" s="9">
        <f t="shared" si="29"/>
        <v>6.7138752495690554E-2</v>
      </c>
      <c r="T172" s="114">
        <f t="shared" si="47"/>
        <v>-1.2009519002285151E-4</v>
      </c>
      <c r="U172" s="63">
        <f t="shared" si="48"/>
        <v>9.6049111436568874E-3</v>
      </c>
      <c r="V172" s="113">
        <f t="shared" si="30"/>
        <v>9.6049111436568868</v>
      </c>
      <c r="W172" s="63">
        <f t="shared" si="50"/>
        <v>0.48131189095918742</v>
      </c>
      <c r="X172" s="67">
        <f t="shared" si="32"/>
        <v>481.31189095918739</v>
      </c>
      <c r="Y172" s="63"/>
      <c r="Z172" s="121">
        <f t="shared" si="49"/>
        <v>-62.1</v>
      </c>
      <c r="AA172" s="121">
        <f t="shared" si="51"/>
        <v>-999</v>
      </c>
      <c r="AB172" s="121">
        <f t="shared" si="42"/>
        <v>164</v>
      </c>
      <c r="AC172" s="13"/>
      <c r="AD172" s="84"/>
      <c r="AE172" s="106"/>
      <c r="AF172" s="10"/>
      <c r="AG172" s="109"/>
      <c r="AO172" s="9"/>
      <c r="AP172" s="10"/>
    </row>
    <row r="173" spans="2:42" x14ac:dyDescent="0.25">
      <c r="B173" s="57">
        <f>IFERROR('Daten Auswertung'!Y81,-999)</f>
        <v>150</v>
      </c>
      <c r="C173" s="57">
        <f>IFERROR('Daten Auswertung'!Z81,-999)</f>
        <v>14250</v>
      </c>
      <c r="D173" s="58">
        <f>IFERROR('Daten Auswertung'!AA81,-999)</f>
        <v>-66.7</v>
      </c>
      <c r="E173" s="60">
        <f t="shared" si="34"/>
        <v>206.45</v>
      </c>
      <c r="F173" s="146">
        <f t="shared" si="35"/>
        <v>552</v>
      </c>
      <c r="G173" s="96" t="e">
        <f t="shared" si="52"/>
        <v>#VALUE!</v>
      </c>
      <c r="I173" s="13">
        <f t="shared" si="39"/>
        <v>150</v>
      </c>
      <c r="J173">
        <f t="shared" si="40"/>
        <v>-66.7</v>
      </c>
      <c r="K173">
        <f t="shared" si="43"/>
        <v>206.45</v>
      </c>
      <c r="O173" s="66">
        <f t="shared" si="44"/>
        <v>-6.4168591730525151</v>
      </c>
      <c r="P173" s="10">
        <f t="shared" si="45"/>
        <v>9.9823933804543945E-3</v>
      </c>
      <c r="Q173" s="145">
        <f t="shared" si="46"/>
        <v>150</v>
      </c>
      <c r="R173">
        <f t="shared" si="41"/>
        <v>4.1396412786130697E-5</v>
      </c>
      <c r="S173" s="9">
        <f t="shared" si="29"/>
        <v>4.1396412786130696E-2</v>
      </c>
      <c r="T173" s="114">
        <f t="shared" si="47"/>
        <v>-1.4006685568459097E-4</v>
      </c>
      <c r="U173" s="63">
        <f t="shared" si="48"/>
        <v>9.663678058619141E-3</v>
      </c>
      <c r="V173" s="113">
        <f t="shared" si="30"/>
        <v>9.6636780586191406</v>
      </c>
      <c r="W173" s="63">
        <f t="shared" si="50"/>
        <v>0.74619466695758807</v>
      </c>
      <c r="X173" s="67">
        <f t="shared" si="32"/>
        <v>746.19466695758808</v>
      </c>
      <c r="Y173" s="63"/>
      <c r="Z173" s="121">
        <f t="shared" si="49"/>
        <v>-66.7</v>
      </c>
      <c r="AA173" s="121">
        <f t="shared" si="51"/>
        <v>-999</v>
      </c>
      <c r="AB173" s="121">
        <f t="shared" si="42"/>
        <v>150</v>
      </c>
      <c r="AC173" s="13"/>
      <c r="AD173" s="84"/>
      <c r="AE173" s="106"/>
      <c r="AF173" s="10"/>
      <c r="AG173" s="109"/>
      <c r="AO173" s="9"/>
      <c r="AP173" s="10"/>
    </row>
    <row r="174" spans="2:42" x14ac:dyDescent="0.25">
      <c r="B174" s="57">
        <f>IFERROR('Daten Auswertung'!Y82,-999)</f>
        <v>137</v>
      </c>
      <c r="C174" s="57">
        <f>IFERROR('Daten Auswertung'!Z82,-999)</f>
        <v>14788</v>
      </c>
      <c r="D174" s="58">
        <f>IFERROR('Daten Auswertung'!AA82,-999)</f>
        <v>-71.599999999999994</v>
      </c>
      <c r="E174" s="60">
        <f t="shared" si="34"/>
        <v>201.54999999999998</v>
      </c>
      <c r="F174" s="146">
        <f t="shared" si="35"/>
        <v>538</v>
      </c>
      <c r="G174" s="96" t="e">
        <f t="shared" si="52"/>
        <v>#VALUE!</v>
      </c>
      <c r="I174" s="13">
        <f t="shared" si="39"/>
        <v>137</v>
      </c>
      <c r="J174">
        <f t="shared" si="40"/>
        <v>-71.599999999999994</v>
      </c>
      <c r="K174">
        <f t="shared" si="43"/>
        <v>201.54999999999998</v>
      </c>
      <c r="O174" s="66">
        <f t="shared" si="44"/>
        <v>-7.0557272042280363</v>
      </c>
      <c r="P174" s="10">
        <f t="shared" si="45"/>
        <v>5.2696020538086667E-3</v>
      </c>
      <c r="Q174" s="145">
        <f t="shared" si="46"/>
        <v>137</v>
      </c>
      <c r="R174">
        <f t="shared" si="41"/>
        <v>2.3925682892676647E-5</v>
      </c>
      <c r="S174" s="9">
        <f t="shared" si="29"/>
        <v>2.3925682892676648E-2</v>
      </c>
      <c r="T174" s="114">
        <f t="shared" si="47"/>
        <v>-8.73598974498163E-5</v>
      </c>
      <c r="U174" s="63">
        <f t="shared" si="48"/>
        <v>9.7062761731908139E-3</v>
      </c>
      <c r="V174" s="113">
        <f t="shared" si="30"/>
        <v>9.7062761731908136</v>
      </c>
      <c r="W174" s="63">
        <f t="shared" si="50"/>
        <v>1.2296376827882955</v>
      </c>
      <c r="X174" s="67">
        <f t="shared" si="32"/>
        <v>1229.6376827882955</v>
      </c>
      <c r="Y174" s="63"/>
      <c r="Z174" s="121">
        <f t="shared" si="49"/>
        <v>-71.599999999999994</v>
      </c>
      <c r="AA174" s="121">
        <f t="shared" si="51"/>
        <v>-999</v>
      </c>
      <c r="AB174" s="121">
        <f t="shared" si="42"/>
        <v>137</v>
      </c>
      <c r="AC174" s="13"/>
      <c r="AD174" s="84"/>
      <c r="AE174" s="106"/>
      <c r="AF174" s="10"/>
      <c r="AG174" s="109"/>
      <c r="AO174" s="9"/>
      <c r="AP174" s="10"/>
    </row>
    <row r="175" spans="2:42" x14ac:dyDescent="0.25">
      <c r="B175" s="57">
        <f>IFERROR('Daten Auswertung'!Y83,-999)</f>
        <v>130</v>
      </c>
      <c r="C175" s="57">
        <f>IFERROR('Daten Auswertung'!Z83,-999)</f>
        <v>15100</v>
      </c>
      <c r="D175" s="58">
        <f>IFERROR('Daten Auswertung'!AA83,-999)</f>
        <v>-74.5</v>
      </c>
      <c r="E175" s="60">
        <f t="shared" si="34"/>
        <v>198.64999999999998</v>
      </c>
      <c r="F175" s="146">
        <f t="shared" si="35"/>
        <v>312</v>
      </c>
      <c r="G175" s="96" t="e">
        <f t="shared" si="52"/>
        <v>#VALUE!</v>
      </c>
      <c r="I175" s="13">
        <f t="shared" si="39"/>
        <v>130</v>
      </c>
      <c r="J175">
        <f t="shared" si="40"/>
        <v>-74.5</v>
      </c>
      <c r="K175">
        <f t="shared" si="43"/>
        <v>198.64999999999998</v>
      </c>
      <c r="O175" s="66">
        <f t="shared" si="44"/>
        <v>-7.4486791036357154</v>
      </c>
      <c r="P175" s="10">
        <f t="shared" si="45"/>
        <v>3.5573039790034546E-3</v>
      </c>
      <c r="Q175" s="145">
        <f t="shared" si="46"/>
        <v>130</v>
      </c>
      <c r="R175">
        <f t="shared" si="41"/>
        <v>1.7020797100687697E-5</v>
      </c>
      <c r="S175" s="9">
        <f t="shared" si="29"/>
        <v>1.7020797100687698E-2</v>
      </c>
      <c r="T175" s="114">
        <f t="shared" si="47"/>
        <v>-3.1838299818475483E-5</v>
      </c>
      <c r="U175" s="63">
        <f t="shared" si="48"/>
        <v>9.7240316978595975E-3</v>
      </c>
      <c r="V175" s="113">
        <f t="shared" si="30"/>
        <v>9.7240316978595978</v>
      </c>
      <c r="W175" s="63">
        <f t="shared" si="50"/>
        <v>1.6786040521353083</v>
      </c>
      <c r="X175" s="67">
        <f t="shared" si="32"/>
        <v>1678.6040521353082</v>
      </c>
      <c r="Y175" s="63"/>
      <c r="Z175" s="121">
        <f t="shared" si="49"/>
        <v>-74.5</v>
      </c>
      <c r="AA175" s="121">
        <f t="shared" si="51"/>
        <v>-999</v>
      </c>
      <c r="AB175" s="121">
        <f t="shared" si="42"/>
        <v>130</v>
      </c>
      <c r="AC175" s="13"/>
      <c r="AD175" s="84"/>
      <c r="AE175" s="106"/>
      <c r="AF175" s="10"/>
      <c r="AG175" s="109"/>
      <c r="AO175" s="9"/>
      <c r="AP175" s="10"/>
    </row>
    <row r="176" spans="2:42" x14ac:dyDescent="0.25">
      <c r="B176" s="57">
        <f>IFERROR('Daten Auswertung'!Y84,-999)</f>
        <v>123</v>
      </c>
      <c r="C176" s="57">
        <f>IFERROR('Daten Auswertung'!Z84,-999)</f>
        <v>15420</v>
      </c>
      <c r="D176" s="58">
        <f>IFERROR('Daten Auswertung'!AA84,-999)</f>
        <v>-75.5</v>
      </c>
      <c r="E176" s="60">
        <f t="shared" si="34"/>
        <v>197.64999999999998</v>
      </c>
      <c r="F176" s="146">
        <f t="shared" si="35"/>
        <v>320</v>
      </c>
      <c r="G176" s="96" t="e">
        <f t="shared" si="52"/>
        <v>#VALUE!</v>
      </c>
      <c r="I176" s="13">
        <f t="shared" si="39"/>
        <v>123</v>
      </c>
      <c r="J176">
        <f t="shared" si="40"/>
        <v>-75.5</v>
      </c>
      <c r="K176">
        <f t="shared" si="43"/>
        <v>197.64999999999998</v>
      </c>
      <c r="O176" s="66">
        <f t="shared" si="44"/>
        <v>-7.586853437098064</v>
      </c>
      <c r="P176" s="10">
        <f t="shared" si="45"/>
        <v>3.0982226712923488E-3</v>
      </c>
      <c r="Q176" s="145">
        <f t="shared" si="46"/>
        <v>123</v>
      </c>
      <c r="R176">
        <f t="shared" si="41"/>
        <v>1.5667829625762583E-5</v>
      </c>
      <c r="S176" s="9">
        <f t="shared" si="29"/>
        <v>1.5667829625762582E-2</v>
      </c>
      <c r="T176" s="114">
        <f t="shared" si="47"/>
        <v>-5.5944579371174597E-5</v>
      </c>
      <c r="U176" s="63">
        <f t="shared" si="48"/>
        <v>9.7274418155030348E-3</v>
      </c>
      <c r="V176" s="113">
        <f t="shared" si="30"/>
        <v>9.7274418155030347</v>
      </c>
      <c r="W176" s="63">
        <f t="shared" si="50"/>
        <v>1.8051428344607603</v>
      </c>
      <c r="X176" s="67">
        <f t="shared" si="32"/>
        <v>1805.1428344607602</v>
      </c>
      <c r="Y176" s="63"/>
      <c r="Z176" s="121">
        <f t="shared" si="49"/>
        <v>-75.5</v>
      </c>
      <c r="AA176" s="121">
        <f t="shared" si="51"/>
        <v>-999</v>
      </c>
      <c r="AB176" s="121">
        <f t="shared" si="42"/>
        <v>123</v>
      </c>
      <c r="AC176" s="13"/>
      <c r="AD176" s="84"/>
      <c r="AE176" s="106"/>
      <c r="AF176" s="10"/>
      <c r="AG176" s="109"/>
      <c r="AO176" s="9"/>
      <c r="AP176" s="10"/>
    </row>
    <row r="177" spans="2:42" x14ac:dyDescent="0.25">
      <c r="B177" s="57">
        <f>IFERROR('Daten Auswertung'!Y85,-999)</f>
        <v>112</v>
      </c>
      <c r="C177" s="57">
        <f>IFERROR('Daten Auswertung'!Z85,-999)</f>
        <v>15962</v>
      </c>
      <c r="D177" s="58">
        <f>IFERROR('Daten Auswertung'!AA85,-999)</f>
        <v>-77.099999999999994</v>
      </c>
      <c r="E177" s="60">
        <f t="shared" si="34"/>
        <v>196.04999999999998</v>
      </c>
      <c r="F177" s="146">
        <f t="shared" si="35"/>
        <v>542</v>
      </c>
      <c r="G177" s="96" t="e">
        <f t="shared" si="52"/>
        <v>#VALUE!</v>
      </c>
      <c r="I177" s="13">
        <f t="shared" si="39"/>
        <v>112</v>
      </c>
      <c r="J177">
        <f t="shared" si="40"/>
        <v>-77.099999999999994</v>
      </c>
      <c r="K177">
        <f t="shared" si="43"/>
        <v>196.04999999999998</v>
      </c>
      <c r="O177" s="66">
        <f t="shared" si="44"/>
        <v>-7.8108643024266717</v>
      </c>
      <c r="P177" s="10">
        <f t="shared" si="45"/>
        <v>2.4764293634573203E-3</v>
      </c>
      <c r="Q177" s="145">
        <f t="shared" si="46"/>
        <v>112</v>
      </c>
      <c r="R177">
        <f t="shared" si="41"/>
        <v>1.3753331457359994E-5</v>
      </c>
      <c r="S177" s="9">
        <f t="shared" si="29"/>
        <v>1.3753331457359994E-2</v>
      </c>
      <c r="T177" s="114">
        <f t="shared" si="47"/>
        <v>-1.0680279098064664E-5</v>
      </c>
      <c r="U177" s="63">
        <f t="shared" si="48"/>
        <v>9.7323233119061235E-3</v>
      </c>
      <c r="V177" s="113">
        <f t="shared" si="30"/>
        <v>9.7323233119061232</v>
      </c>
      <c r="W177" s="63">
        <f t="shared" si="50"/>
        <v>2.0231033607379985</v>
      </c>
      <c r="X177" s="67">
        <f t="shared" si="32"/>
        <v>2023.1033607379984</v>
      </c>
      <c r="Y177" s="63"/>
      <c r="Z177" s="121">
        <f t="shared" si="49"/>
        <v>-77.099999999999994</v>
      </c>
      <c r="AA177" s="121">
        <f t="shared" si="51"/>
        <v>-999</v>
      </c>
      <c r="AB177" s="121">
        <f t="shared" si="42"/>
        <v>112</v>
      </c>
      <c r="AC177" s="13"/>
      <c r="AD177" s="84"/>
      <c r="AE177" s="106"/>
      <c r="AF177" s="10"/>
      <c r="AG177" s="109"/>
      <c r="AO177" s="9"/>
      <c r="AP177" s="10"/>
    </row>
    <row r="178" spans="2:42" x14ac:dyDescent="0.25">
      <c r="B178" s="57">
        <f>IFERROR('Daten Auswertung'!Y86,-999)</f>
        <v>110</v>
      </c>
      <c r="C178" s="57">
        <f>IFERROR('Daten Auswertung'!Z86,-999)</f>
        <v>16065</v>
      </c>
      <c r="D178" s="58">
        <f>IFERROR('Daten Auswertung'!AA86,-999)</f>
        <v>-77.400000000000006</v>
      </c>
      <c r="E178" s="60">
        <f t="shared" si="34"/>
        <v>195.74999999999997</v>
      </c>
      <c r="F178" s="146">
        <f t="shared" si="35"/>
        <v>103</v>
      </c>
      <c r="G178" s="96" t="e">
        <f t="shared" si="52"/>
        <v>#VALUE!</v>
      </c>
      <c r="I178" s="13">
        <f t="shared" si="39"/>
        <v>110</v>
      </c>
      <c r="J178">
        <f t="shared" si="40"/>
        <v>-77.400000000000006</v>
      </c>
      <c r="K178">
        <f t="shared" si="43"/>
        <v>195.74999999999997</v>
      </c>
      <c r="O178" s="66">
        <f t="shared" si="44"/>
        <v>-7.8532740222850972</v>
      </c>
      <c r="P178" s="10">
        <f t="shared" si="45"/>
        <v>2.3736005697985447E-3</v>
      </c>
      <c r="Q178" s="145">
        <f t="shared" si="46"/>
        <v>110</v>
      </c>
      <c r="R178">
        <f t="shared" si="41"/>
        <v>1.342192193360222E-5</v>
      </c>
      <c r="S178" s="9">
        <f t="shared" si="29"/>
        <v>1.342192193360222E-2</v>
      </c>
      <c r="T178" s="114">
        <f t="shared" si="47"/>
        <v>-3.3889427862873427E-5</v>
      </c>
      <c r="U178" s="63">
        <f t="shared" si="48"/>
        <v>9.733177023151348E-3</v>
      </c>
      <c r="V178" s="113">
        <f t="shared" si="30"/>
        <v>9.7331770231513488</v>
      </c>
      <c r="W178" s="63">
        <f t="shared" si="50"/>
        <v>2.0666889815504432</v>
      </c>
      <c r="X178" s="67">
        <f t="shared" si="32"/>
        <v>2066.6889815504433</v>
      </c>
      <c r="Y178" s="63"/>
      <c r="Z178" s="121">
        <f t="shared" si="49"/>
        <v>-77.400000000000006</v>
      </c>
      <c r="AA178" s="121">
        <f t="shared" si="51"/>
        <v>-999</v>
      </c>
      <c r="AB178" s="121">
        <f t="shared" si="42"/>
        <v>110</v>
      </c>
      <c r="AC178" s="13"/>
      <c r="AD178" s="84"/>
      <c r="AE178" s="106"/>
      <c r="AF178" s="10"/>
      <c r="AG178" s="109"/>
      <c r="AO178" s="9"/>
      <c r="AP178" s="10"/>
    </row>
    <row r="179" spans="2:42" x14ac:dyDescent="0.25">
      <c r="B179" s="57">
        <f>IFERROR('Daten Auswertung'!Y87,-999)</f>
        <v>104</v>
      </c>
      <c r="C179" s="57">
        <f>IFERROR('Daten Auswertung'!Z87,-999)</f>
        <v>16386</v>
      </c>
      <c r="D179" s="58">
        <f>IFERROR('Daten Auswertung'!AA87,-999)</f>
        <v>-78.3</v>
      </c>
      <c r="E179" s="60">
        <f t="shared" si="34"/>
        <v>194.84999999999997</v>
      </c>
      <c r="F179" s="146">
        <f t="shared" si="35"/>
        <v>321</v>
      </c>
      <c r="G179" s="96" t="e">
        <f t="shared" si="52"/>
        <v>#VALUE!</v>
      </c>
      <c r="I179" s="13">
        <f t="shared" si="39"/>
        <v>104</v>
      </c>
      <c r="J179">
        <f t="shared" si="40"/>
        <v>-78.3</v>
      </c>
      <c r="K179">
        <f t="shared" si="43"/>
        <v>194.84999999999997</v>
      </c>
      <c r="O179" s="66">
        <f t="shared" si="44"/>
        <v>-7.9812867332665451</v>
      </c>
      <c r="P179" s="10">
        <f t="shared" si="45"/>
        <v>2.0883939363774153E-3</v>
      </c>
      <c r="Q179" s="145">
        <f t="shared" si="46"/>
        <v>104</v>
      </c>
      <c r="R179">
        <f t="shared" si="41"/>
        <v>1.2490453013587389E-5</v>
      </c>
      <c r="S179" s="9">
        <f t="shared" si="29"/>
        <v>1.2490453013587388E-2</v>
      </c>
      <c r="T179" s="114">
        <f t="shared" si="47"/>
        <v>-7.6040797804361064E-6</v>
      </c>
      <c r="U179" s="63">
        <f t="shared" si="48"/>
        <v>9.7355855348068478E-3</v>
      </c>
      <c r="V179" s="113">
        <f t="shared" si="30"/>
        <v>9.7355855348068481</v>
      </c>
      <c r="W179" s="63">
        <f t="shared" si="50"/>
        <v>2.2003513688263614</v>
      </c>
      <c r="X179" s="67">
        <f t="shared" si="32"/>
        <v>2200.3513688263615</v>
      </c>
      <c r="Y179" s="63"/>
      <c r="Z179" s="121">
        <f t="shared" si="49"/>
        <v>-78.3</v>
      </c>
      <c r="AA179" s="121">
        <f t="shared" si="51"/>
        <v>-999</v>
      </c>
      <c r="AB179" s="121">
        <f t="shared" si="42"/>
        <v>104</v>
      </c>
      <c r="AC179" s="13"/>
      <c r="AD179" s="84"/>
      <c r="AE179" s="106"/>
      <c r="AF179" s="10"/>
      <c r="AG179" s="109"/>
      <c r="AO179" s="9"/>
      <c r="AP179" s="10"/>
    </row>
    <row r="180" spans="2:42" x14ac:dyDescent="0.25">
      <c r="B180" s="57">
        <f>IFERROR('Daten Auswertung'!Y88,-999)</f>
        <v>103</v>
      </c>
      <c r="C180" s="57">
        <f>IFERROR('Daten Auswertung'!Z88,-999)</f>
        <v>16441</v>
      </c>
      <c r="D180" s="58">
        <f>IFERROR('Daten Auswertung'!AA88,-999)</f>
        <v>-78.5</v>
      </c>
      <c r="E180" s="60">
        <f t="shared" si="34"/>
        <v>194.64999999999998</v>
      </c>
      <c r="F180" s="146">
        <f t="shared" si="35"/>
        <v>55</v>
      </c>
      <c r="G180" s="96" t="e">
        <f t="shared" si="52"/>
        <v>#VALUE!</v>
      </c>
      <c r="I180" s="13">
        <f t="shared" si="39"/>
        <v>103</v>
      </c>
      <c r="J180">
        <f t="shared" si="40"/>
        <v>-78.5</v>
      </c>
      <c r="K180">
        <f t="shared" si="43"/>
        <v>194.64999999999998</v>
      </c>
      <c r="O180" s="66">
        <f t="shared" si="44"/>
        <v>-8.0098947626921451</v>
      </c>
      <c r="P180" s="10">
        <f t="shared" si="45"/>
        <v>2.029495600760448E-3</v>
      </c>
      <c r="Q180" s="145">
        <f t="shared" si="46"/>
        <v>103</v>
      </c>
      <c r="R180">
        <f t="shared" si="41"/>
        <v>1.2256030458571818E-5</v>
      </c>
      <c r="S180" s="9">
        <f t="shared" si="29"/>
        <v>1.2256030458571817E-2</v>
      </c>
      <c r="T180" s="114">
        <f t="shared" si="47"/>
        <v>2.3496531679175187E-5</v>
      </c>
      <c r="U180" s="63">
        <f t="shared" si="48"/>
        <v>9.736210597064145E-3</v>
      </c>
      <c r="V180" s="113">
        <f t="shared" si="30"/>
        <v>9.7362105970641455</v>
      </c>
      <c r="W180" s="63">
        <f t="shared" si="50"/>
        <v>2.2378145118408388</v>
      </c>
      <c r="X180" s="67">
        <f t="shared" si="32"/>
        <v>2237.8145118408388</v>
      </c>
      <c r="Y180" s="63"/>
      <c r="Z180" s="121">
        <f t="shared" si="49"/>
        <v>-78.5</v>
      </c>
      <c r="AA180" s="121">
        <f t="shared" si="51"/>
        <v>-999</v>
      </c>
      <c r="AB180" s="121">
        <f t="shared" si="42"/>
        <v>103</v>
      </c>
      <c r="AC180" s="13"/>
      <c r="AD180" s="84"/>
      <c r="AE180" s="106"/>
      <c r="AF180" s="10"/>
      <c r="AG180" s="109"/>
      <c r="AO180" s="9"/>
      <c r="AP180" s="10"/>
    </row>
    <row r="181" spans="2:42" x14ac:dyDescent="0.25">
      <c r="B181" s="57">
        <f>IFERROR('Daten Auswertung'!Y89,-999)</f>
        <v>100</v>
      </c>
      <c r="C181" s="57">
        <f>IFERROR('Daten Auswertung'!Z89,-999)</f>
        <v>16610</v>
      </c>
      <c r="D181" s="58">
        <f>IFERROR('Daten Auswertung'!AA89,-999)</f>
        <v>-77.900000000000006</v>
      </c>
      <c r="E181" s="60">
        <f t="shared" si="34"/>
        <v>195.24999999999997</v>
      </c>
      <c r="F181" s="146">
        <f t="shared" si="35"/>
        <v>169</v>
      </c>
      <c r="G181" s="96" t="e">
        <f t="shared" si="52"/>
        <v>#VALUE!</v>
      </c>
      <c r="I181" s="13">
        <f t="shared" si="39"/>
        <v>100</v>
      </c>
      <c r="J181">
        <f t="shared" si="40"/>
        <v>-77.900000000000006</v>
      </c>
      <c r="K181">
        <f t="shared" si="43"/>
        <v>195.24999999999997</v>
      </c>
      <c r="O181" s="66">
        <f t="shared" si="44"/>
        <v>-7.9242464984118159</v>
      </c>
      <c r="P181" s="10">
        <f t="shared" si="45"/>
        <v>2.2109793317805749E-3</v>
      </c>
      <c r="Q181" s="145">
        <f t="shared" si="46"/>
        <v>100</v>
      </c>
      <c r="R181">
        <f t="shared" si="41"/>
        <v>1.3752595510719502E-5</v>
      </c>
      <c r="S181" s="9">
        <f t="shared" si="29"/>
        <v>1.3752595510719503E-2</v>
      </c>
      <c r="T181" s="114">
        <f t="shared" si="47"/>
        <v>-1.6148884931005998E-5</v>
      </c>
      <c r="U181" s="63">
        <f t="shared" si="48"/>
        <v>9.7319654511808622E-3</v>
      </c>
      <c r="V181" s="113">
        <f t="shared" si="30"/>
        <v>9.7319654511808622</v>
      </c>
      <c r="W181" s="63">
        <f t="shared" si="50"/>
        <v>2.0067384690620806</v>
      </c>
      <c r="X181" s="67">
        <f t="shared" si="32"/>
        <v>2006.7384690620806</v>
      </c>
      <c r="Y181" s="63"/>
      <c r="Z181" s="121">
        <f t="shared" si="49"/>
        <v>-77.900000000000006</v>
      </c>
      <c r="AA181" s="121">
        <f t="shared" si="51"/>
        <v>-999</v>
      </c>
      <c r="AB181" s="121">
        <f t="shared" si="42"/>
        <v>100</v>
      </c>
      <c r="AC181" s="13"/>
      <c r="AD181" s="84"/>
      <c r="AE181" s="106"/>
      <c r="AF181" s="10"/>
      <c r="AG181" s="109"/>
      <c r="AO181" s="9"/>
      <c r="AP181" s="10"/>
    </row>
    <row r="182" spans="2:42" x14ac:dyDescent="0.25">
      <c r="B182" s="57">
        <f>IFERROR('Daten Auswertung'!Y90,-999)</f>
        <v>97</v>
      </c>
      <c r="C182" s="57">
        <f>IFERROR('Daten Auswertung'!Z90,-999)</f>
        <v>16783</v>
      </c>
      <c r="D182" s="58">
        <f>IFERROR('Daten Auswertung'!AA90,-999)</f>
        <v>-78.3</v>
      </c>
      <c r="E182" s="60">
        <f t="shared" si="34"/>
        <v>194.84999999999997</v>
      </c>
      <c r="F182" s="146">
        <f t="shared" si="35"/>
        <v>173</v>
      </c>
      <c r="G182" s="96" t="e">
        <f t="shared" si="52"/>
        <v>#VALUE!</v>
      </c>
      <c r="I182" s="13">
        <f t="shared" si="39"/>
        <v>97</v>
      </c>
      <c r="J182">
        <f t="shared" si="40"/>
        <v>-78.3</v>
      </c>
      <c r="K182">
        <f t="shared" si="43"/>
        <v>194.84999999999997</v>
      </c>
      <c r="O182" s="66">
        <f t="shared" si="44"/>
        <v>-7.9812867332665451</v>
      </c>
      <c r="P182" s="10">
        <f t="shared" si="45"/>
        <v>2.0883939363774153E-3</v>
      </c>
      <c r="Q182" s="145">
        <f t="shared" si="46"/>
        <v>97</v>
      </c>
      <c r="R182">
        <f t="shared" si="41"/>
        <v>1.3391845318302185E-5</v>
      </c>
      <c r="S182" s="9">
        <f t="shared" si="29"/>
        <v>1.3391845318302186E-2</v>
      </c>
      <c r="T182" s="114">
        <f t="shared" si="47"/>
        <v>-1.666427576704103E-5</v>
      </c>
      <c r="U182" s="63">
        <f t="shared" si="48"/>
        <v>9.7328700325589445E-3</v>
      </c>
      <c r="V182" s="113">
        <f t="shared" si="30"/>
        <v>9.7328700325589441</v>
      </c>
      <c r="W182" s="63">
        <f t="shared" si="50"/>
        <v>2.0523305079985672</v>
      </c>
      <c r="X182" s="67">
        <f t="shared" si="32"/>
        <v>2052.3305079985671</v>
      </c>
      <c r="Y182" s="63"/>
      <c r="Z182" s="121">
        <f t="shared" si="49"/>
        <v>-78.3</v>
      </c>
      <c r="AA182" s="121">
        <f t="shared" si="51"/>
        <v>-999</v>
      </c>
      <c r="AB182" s="121">
        <f t="shared" si="42"/>
        <v>97</v>
      </c>
      <c r="AC182" s="13"/>
      <c r="AD182" s="84"/>
      <c r="AE182" s="106"/>
      <c r="AF182" s="10"/>
      <c r="AG182" s="109"/>
      <c r="AO182" s="9"/>
      <c r="AP182" s="10"/>
    </row>
    <row r="183" spans="2:42" x14ac:dyDescent="0.25">
      <c r="B183" s="57">
        <f>IFERROR('Daten Auswertung'!Y91,-999)</f>
        <v>94</v>
      </c>
      <c r="C183" s="57">
        <f>IFERROR('Daten Auswertung'!Z91,-999)</f>
        <v>16961</v>
      </c>
      <c r="D183" s="58">
        <f>IFERROR('Daten Auswertung'!AA91,-999)</f>
        <v>-78.7</v>
      </c>
      <c r="E183" s="60">
        <f t="shared" si="34"/>
        <v>194.45</v>
      </c>
      <c r="F183" s="146">
        <f t="shared" si="35"/>
        <v>178</v>
      </c>
      <c r="G183" s="96" t="e">
        <f t="shared" si="52"/>
        <v>#VALUE!</v>
      </c>
      <c r="I183" s="13">
        <f t="shared" si="39"/>
        <v>94</v>
      </c>
      <c r="J183">
        <f t="shared" si="40"/>
        <v>-78.7</v>
      </c>
      <c r="K183">
        <f t="shared" si="43"/>
        <v>194.45</v>
      </c>
      <c r="O183" s="66">
        <f t="shared" si="44"/>
        <v>-8.0385616412397294</v>
      </c>
      <c r="P183" s="10">
        <f t="shared" si="45"/>
        <v>1.9721422946359624E-3</v>
      </c>
      <c r="Q183" s="145">
        <f t="shared" si="46"/>
        <v>94</v>
      </c>
      <c r="R183">
        <f t="shared" si="41"/>
        <v>1.3049981315783678E-5</v>
      </c>
      <c r="S183" s="9">
        <f t="shared" si="29"/>
        <v>1.3049981315783677E-2</v>
      </c>
      <c r="T183" s="114">
        <f t="shared" si="47"/>
        <v>-7.6412270123584985E-5</v>
      </c>
      <c r="U183" s="63">
        <f t="shared" si="48"/>
        <v>9.7337261175579146E-3</v>
      </c>
      <c r="V183" s="113">
        <f t="shared" si="30"/>
        <v>9.7337261175579144</v>
      </c>
      <c r="W183" s="63">
        <f t="shared" si="50"/>
        <v>2.0974267145406431</v>
      </c>
      <c r="X183" s="67">
        <f t="shared" si="32"/>
        <v>2097.4267145406429</v>
      </c>
      <c r="Y183" s="63"/>
      <c r="Z183" s="121">
        <f t="shared" si="49"/>
        <v>-78.7</v>
      </c>
      <c r="AA183" s="121">
        <f t="shared" si="51"/>
        <v>-999</v>
      </c>
      <c r="AB183" s="121">
        <f t="shared" si="42"/>
        <v>94</v>
      </c>
      <c r="AC183" s="13"/>
      <c r="AD183" s="84"/>
      <c r="AE183" s="106"/>
      <c r="AF183" s="10"/>
      <c r="AG183" s="109"/>
      <c r="AO183" s="9"/>
      <c r="AP183" s="10"/>
    </row>
    <row r="184" spans="2:42" x14ac:dyDescent="0.25">
      <c r="B184" s="57">
        <f>IFERROR('Daten Auswertung'!Y92,-999)</f>
        <v>82</v>
      </c>
      <c r="C184" s="57">
        <f>IFERROR('Daten Auswertung'!Z92,-999)</f>
        <v>17734</v>
      </c>
      <c r="D184" s="58">
        <f>IFERROR('Daten Auswertung'!AA92,-999)</f>
        <v>-80.3</v>
      </c>
      <c r="E184" s="60">
        <f t="shared" si="34"/>
        <v>192.84999999999997</v>
      </c>
      <c r="F184" s="146">
        <f t="shared" si="35"/>
        <v>773</v>
      </c>
      <c r="G184" s="96" t="e">
        <f t="shared" si="52"/>
        <v>#VALUE!</v>
      </c>
      <c r="I184" s="13">
        <f t="shared" si="39"/>
        <v>82</v>
      </c>
      <c r="J184">
        <f t="shared" si="40"/>
        <v>-80.3</v>
      </c>
      <c r="K184">
        <f t="shared" ref="K184:K215" si="53">IF(J184="","",E184)</f>
        <v>192.84999999999997</v>
      </c>
      <c r="O184" s="66">
        <f t="shared" ref="O184:O215" si="54">$H$8/$H$9*(1/273.15-1/E184)</f>
        <v>-8.270037209164542</v>
      </c>
      <c r="P184" s="10">
        <f t="shared" ref="P184:P215" si="55">$H$10^O184*6.11</f>
        <v>1.564622910467689E-3</v>
      </c>
      <c r="Q184" s="145">
        <f t="shared" ref="Q184:Q215" si="56">B184</f>
        <v>82</v>
      </c>
      <c r="R184">
        <f t="shared" si="41"/>
        <v>1.186846365830554E-5</v>
      </c>
      <c r="S184" s="9">
        <f t="shared" si="29"/>
        <v>1.186846365830554E-2</v>
      </c>
      <c r="T184" s="114">
        <f t="shared" ref="T184:T215" si="57">$H$17/(1+$H$22/$H$20*((R184-Q185)/(E184-E185)))</f>
        <v>-7.4796445960288073E-5</v>
      </c>
      <c r="U184" s="63">
        <f t="shared" ref="U184:U215" si="58">IF(J184="","",$H$19*((1+($H$22*R184)/($H$23*K184)))/(($H$20+($H$22^2*R184*$H$24)/($H$23*K184^2))))</f>
        <v>9.7366602552647584E-3</v>
      </c>
      <c r="V184" s="113">
        <f t="shared" si="30"/>
        <v>9.7366602552647592</v>
      </c>
      <c r="W184" s="63">
        <f t="shared" si="50"/>
        <v>2.2683209543417466</v>
      </c>
      <c r="X184" s="67">
        <f t="shared" si="32"/>
        <v>2268.3209543417465</v>
      </c>
      <c r="Y184" s="63"/>
      <c r="Z184" s="121">
        <f t="shared" ref="Z184:Z215" si="59">D184</f>
        <v>-80.3</v>
      </c>
      <c r="AA184" s="121">
        <f t="shared" si="51"/>
        <v>-999</v>
      </c>
      <c r="AB184" s="121">
        <f t="shared" si="42"/>
        <v>82</v>
      </c>
      <c r="AC184" s="13"/>
      <c r="AD184" s="84"/>
      <c r="AE184" s="106"/>
      <c r="AF184" s="10"/>
      <c r="AG184" s="109"/>
      <c r="AO184" s="9"/>
      <c r="AP184" s="10"/>
    </row>
    <row r="185" spans="2:42" x14ac:dyDescent="0.25">
      <c r="B185" s="57">
        <f>IFERROR('Daten Auswertung'!Y93,-999)</f>
        <v>73.3</v>
      </c>
      <c r="C185" s="57">
        <f>IFERROR('Daten Auswertung'!Z93,-999)</f>
        <v>18370</v>
      </c>
      <c r="D185" s="58">
        <f>IFERROR('Daten Auswertung'!AA93,-999)</f>
        <v>-81.7</v>
      </c>
      <c r="E185" s="60">
        <f t="shared" si="34"/>
        <v>191.45</v>
      </c>
      <c r="F185" s="146">
        <f t="shared" si="35"/>
        <v>636</v>
      </c>
      <c r="G185" s="96" t="e">
        <f t="shared" si="52"/>
        <v>#VALUE!</v>
      </c>
      <c r="I185" s="13">
        <f t="shared" ref="I185:I248" si="60">IF(B185&gt;$B$115,-999,B185)</f>
        <v>73.3</v>
      </c>
      <c r="J185">
        <f t="shared" ref="J185:J248" si="61">IF(D185&gt;$D$115,-999,D185)</f>
        <v>-81.7</v>
      </c>
      <c r="K185">
        <f t="shared" si="53"/>
        <v>191.45</v>
      </c>
      <c r="O185" s="66">
        <f t="shared" si="54"/>
        <v>-8.4757521277339194</v>
      </c>
      <c r="P185" s="10">
        <f t="shared" si="55"/>
        <v>1.273704934326226E-3</v>
      </c>
      <c r="Q185" s="145">
        <f t="shared" si="56"/>
        <v>73.3</v>
      </c>
      <c r="R185">
        <f t="shared" si="41"/>
        <v>1.0808434323424865E-5</v>
      </c>
      <c r="S185" s="9">
        <f t="shared" ref="S185:S248" si="62">R185*1000</f>
        <v>1.0808434323424865E-2</v>
      </c>
      <c r="T185" s="114">
        <f t="shared" si="57"/>
        <v>1.5664141259652038E-4</v>
      </c>
      <c r="U185" s="63">
        <f t="shared" si="58"/>
        <v>9.7394039203549856E-3</v>
      </c>
      <c r="V185" s="113">
        <f t="shared" ref="V185:V248" si="63">IF(U185="","",U185*1000)</f>
        <v>9.7394039203549863</v>
      </c>
      <c r="W185" s="63">
        <f t="shared" ref="W185:W216" si="64">$H$19*(($H$23*E185^2+$H$22*R185*E185)/(F$20*$H$23*E185^2+$H$22^2*R185*$H$24))</f>
        <v>2.4546435467514329</v>
      </c>
      <c r="X185" s="67">
        <f t="shared" ref="X185:X248" si="65">W185*1000</f>
        <v>2454.643546751433</v>
      </c>
      <c r="Y185" s="63"/>
      <c r="Z185" s="121">
        <f t="shared" si="59"/>
        <v>-81.7</v>
      </c>
      <c r="AA185" s="121">
        <f t="shared" ref="AA185:AA216" si="66">IFERROR(G185,-999)</f>
        <v>-999</v>
      </c>
      <c r="AB185" s="121">
        <f t="shared" si="42"/>
        <v>73.3</v>
      </c>
      <c r="AC185" s="13"/>
      <c r="AD185" s="84"/>
      <c r="AE185" s="106"/>
      <c r="AF185" s="10"/>
      <c r="AG185" s="109"/>
      <c r="AO185" s="9"/>
      <c r="AP185" s="10"/>
    </row>
    <row r="186" spans="2:42" x14ac:dyDescent="0.25">
      <c r="B186" s="57">
        <f>IFERROR('Daten Auswertung'!Y94,-999)</f>
        <v>70</v>
      </c>
      <c r="C186" s="57">
        <f>IFERROR('Daten Auswertung'!Z94,-999)</f>
        <v>18630</v>
      </c>
      <c r="D186" s="58">
        <f>IFERROR('Daten Auswertung'!AA94,-999)</f>
        <v>-78.900000000000006</v>
      </c>
      <c r="E186" s="60">
        <f t="shared" ref="E186:E249" si="67">IF(D186&gt;-999,D186+273.15,"")</f>
        <v>194.24999999999997</v>
      </c>
      <c r="F186" s="146">
        <f t="shared" ref="F186:F249" si="68">C186-C185</f>
        <v>260</v>
      </c>
      <c r="G186" s="96" t="e">
        <f t="shared" ref="G186:G217" si="69">G185-U185*F185</f>
        <v>#VALUE!</v>
      </c>
      <c r="I186" s="13">
        <f t="shared" si="60"/>
        <v>70</v>
      </c>
      <c r="J186">
        <f t="shared" si="61"/>
        <v>-78.900000000000006</v>
      </c>
      <c r="K186">
        <f t="shared" si="53"/>
        <v>194.24999999999997</v>
      </c>
      <c r="O186" s="66">
        <f t="shared" si="54"/>
        <v>-8.06728755068265</v>
      </c>
      <c r="P186" s="10">
        <f t="shared" si="55"/>
        <v>1.9162966621262452E-3</v>
      </c>
      <c r="Q186" s="145">
        <f t="shared" si="56"/>
        <v>70</v>
      </c>
      <c r="R186">
        <f t="shared" si="41"/>
        <v>1.7028130782752941E-5</v>
      </c>
      <c r="S186" s="9">
        <f t="shared" si="62"/>
        <v>1.7028130782752941E-2</v>
      </c>
      <c r="T186" s="114">
        <f t="shared" si="57"/>
        <v>9.6482633117143634E-5</v>
      </c>
      <c r="U186" s="63">
        <f t="shared" si="58"/>
        <v>9.7215936863415797E-3</v>
      </c>
      <c r="V186" s="113">
        <f t="shared" si="63"/>
        <v>9.7215936863415795</v>
      </c>
      <c r="W186" s="63">
        <f t="shared" si="64"/>
        <v>1.604403435528585</v>
      </c>
      <c r="X186" s="67">
        <f t="shared" si="65"/>
        <v>1604.4034355285851</v>
      </c>
      <c r="Y186" s="63"/>
      <c r="Z186" s="121">
        <f t="shared" si="59"/>
        <v>-78.900000000000006</v>
      </c>
      <c r="AA186" s="121">
        <f t="shared" si="66"/>
        <v>-999</v>
      </c>
      <c r="AB186" s="121">
        <f t="shared" si="42"/>
        <v>70</v>
      </c>
      <c r="AC186" s="13"/>
      <c r="AD186" s="84"/>
      <c r="AE186" s="106"/>
      <c r="AF186" s="10"/>
      <c r="AG186" s="109"/>
      <c r="AO186" s="9"/>
      <c r="AP186" s="10"/>
    </row>
    <row r="187" spans="2:42" x14ac:dyDescent="0.25">
      <c r="B187" s="57">
        <f>IFERROR('Daten Auswertung'!Y95,-999)</f>
        <v>69</v>
      </c>
      <c r="C187" s="57">
        <f>IFERROR('Daten Auswertung'!Z95,-999)</f>
        <v>18713</v>
      </c>
      <c r="D187" s="58">
        <f>IFERROR('Daten Auswertung'!AA95,-999)</f>
        <v>-77.2</v>
      </c>
      <c r="E187" s="60">
        <f t="shared" si="67"/>
        <v>195.95</v>
      </c>
      <c r="F187" s="146">
        <f t="shared" si="68"/>
        <v>83</v>
      </c>
      <c r="G187" s="96" t="e">
        <f t="shared" si="69"/>
        <v>#VALUE!</v>
      </c>
      <c r="I187" s="13">
        <f t="shared" si="60"/>
        <v>69</v>
      </c>
      <c r="J187">
        <f t="shared" si="61"/>
        <v>-77.2</v>
      </c>
      <c r="K187">
        <f t="shared" si="53"/>
        <v>195.95</v>
      </c>
      <c r="O187" s="66">
        <f t="shared" si="54"/>
        <v>-7.8249864469572241</v>
      </c>
      <c r="P187" s="10">
        <f t="shared" si="55"/>
        <v>2.4417026550069398E-3</v>
      </c>
      <c r="Q187" s="145">
        <f t="shared" si="56"/>
        <v>69</v>
      </c>
      <c r="R187">
        <f t="shared" si="41"/>
        <v>2.2011489810542427E-5</v>
      </c>
      <c r="S187" s="9">
        <f t="shared" si="62"/>
        <v>2.2011489810542427E-2</v>
      </c>
      <c r="T187" s="114">
        <f t="shared" si="57"/>
        <v>2.1690484634841916E-4</v>
      </c>
      <c r="U187" s="63">
        <f t="shared" si="58"/>
        <v>9.7077811032989219E-3</v>
      </c>
      <c r="V187" s="113">
        <f t="shared" si="63"/>
        <v>9.7077811032989221</v>
      </c>
      <c r="W187" s="63">
        <f t="shared" si="64"/>
        <v>1.2632604274182035</v>
      </c>
      <c r="X187" s="67">
        <f t="shared" si="65"/>
        <v>1263.2604274182036</v>
      </c>
      <c r="Y187" s="63"/>
      <c r="Z187" s="121">
        <f t="shared" si="59"/>
        <v>-77.2</v>
      </c>
      <c r="AA187" s="121">
        <f t="shared" si="66"/>
        <v>-999</v>
      </c>
      <c r="AB187" s="121">
        <f t="shared" si="42"/>
        <v>69</v>
      </c>
      <c r="AC187" s="13"/>
      <c r="AD187" s="84"/>
      <c r="AE187" s="106"/>
      <c r="AF187" s="10"/>
      <c r="AG187" s="109"/>
      <c r="AO187" s="9"/>
      <c r="AP187" s="10"/>
    </row>
    <row r="188" spans="2:42" x14ac:dyDescent="0.25">
      <c r="B188" s="57">
        <f>IFERROR('Daten Auswertung'!Y96,-999)</f>
        <v>66.8</v>
      </c>
      <c r="C188" s="57">
        <f>IFERROR('Daten Auswertung'!Z96,-999)</f>
        <v>18901</v>
      </c>
      <c r="D188" s="58">
        <f>IFERROR('Daten Auswertung'!AA96,-999)</f>
        <v>-73.5</v>
      </c>
      <c r="E188" s="60">
        <f t="shared" si="67"/>
        <v>199.64999999999998</v>
      </c>
      <c r="F188" s="146">
        <f t="shared" si="68"/>
        <v>188</v>
      </c>
      <c r="G188" s="96" t="e">
        <f t="shared" si="69"/>
        <v>#VALUE!</v>
      </c>
      <c r="I188" s="13">
        <f t="shared" si="60"/>
        <v>66.8</v>
      </c>
      <c r="J188">
        <f t="shared" si="61"/>
        <v>-73.5</v>
      </c>
      <c r="K188">
        <f t="shared" si="53"/>
        <v>199.64999999999998</v>
      </c>
      <c r="O188" s="66">
        <f t="shared" si="54"/>
        <v>-7.3118889357978318</v>
      </c>
      <c r="P188" s="10">
        <f t="shared" si="55"/>
        <v>4.0787603910418012E-3</v>
      </c>
      <c r="Q188" s="145">
        <f t="shared" si="56"/>
        <v>66.8</v>
      </c>
      <c r="R188">
        <f t="shared" si="41"/>
        <v>3.7981195799775944E-5</v>
      </c>
      <c r="S188" s="9">
        <f t="shared" si="62"/>
        <v>3.7981195799775942E-2</v>
      </c>
      <c r="T188" s="114">
        <f t="shared" si="57"/>
        <v>8.7023666767662428E-5</v>
      </c>
      <c r="U188" s="63">
        <f t="shared" si="58"/>
        <v>9.6651844556785473E-3</v>
      </c>
      <c r="V188" s="113">
        <f t="shared" si="63"/>
        <v>9.6651844556785473</v>
      </c>
      <c r="W188" s="63">
        <f t="shared" si="64"/>
        <v>0.76052981482922544</v>
      </c>
      <c r="X188" s="67">
        <f t="shared" si="65"/>
        <v>760.52981482922542</v>
      </c>
      <c r="Y188" s="63"/>
      <c r="Z188" s="121">
        <f t="shared" si="59"/>
        <v>-73.5</v>
      </c>
      <c r="AA188" s="121">
        <f t="shared" si="66"/>
        <v>-999</v>
      </c>
      <c r="AB188" s="121">
        <f t="shared" si="42"/>
        <v>66.8</v>
      </c>
      <c r="AC188" s="13"/>
      <c r="AD188" s="84"/>
      <c r="AE188" s="106"/>
      <c r="AF188" s="10"/>
      <c r="AG188" s="109"/>
    </row>
    <row r="189" spans="2:42" x14ac:dyDescent="0.25">
      <c r="B189" s="57">
        <f>IFERROR('Daten Auswertung'!Y97,-999)</f>
        <v>63</v>
      </c>
      <c r="C189" s="57">
        <f>IFERROR('Daten Auswertung'!Z97,-999)</f>
        <v>19246</v>
      </c>
      <c r="D189" s="58">
        <f>IFERROR('Daten Auswertung'!AA97,-999)</f>
        <v>-72.099999999999994</v>
      </c>
      <c r="E189" s="60">
        <f t="shared" si="67"/>
        <v>201.04999999999998</v>
      </c>
      <c r="F189" s="146">
        <f t="shared" si="68"/>
        <v>345</v>
      </c>
      <c r="G189" s="96" t="e">
        <f t="shared" si="69"/>
        <v>#VALUE!</v>
      </c>
      <c r="I189" s="13">
        <f t="shared" si="60"/>
        <v>63</v>
      </c>
      <c r="J189">
        <f t="shared" si="61"/>
        <v>-72.099999999999994</v>
      </c>
      <c r="K189">
        <f t="shared" si="53"/>
        <v>201.04999999999998</v>
      </c>
      <c r="O189" s="66">
        <f t="shared" si="54"/>
        <v>-7.1226687737615517</v>
      </c>
      <c r="P189" s="10">
        <f t="shared" si="55"/>
        <v>4.9283945136610061E-3</v>
      </c>
      <c r="Q189" s="145">
        <f t="shared" si="56"/>
        <v>63</v>
      </c>
      <c r="R189">
        <f t="shared" si="41"/>
        <v>4.8661924010420045E-5</v>
      </c>
      <c r="S189" s="9">
        <f t="shared" si="62"/>
        <v>4.8661924010420042E-2</v>
      </c>
      <c r="T189" s="114">
        <f t="shared" si="57"/>
        <v>2.5265099982196218E-5</v>
      </c>
      <c r="U189" s="63">
        <f t="shared" si="58"/>
        <v>9.6372764784922738E-3</v>
      </c>
      <c r="V189" s="113">
        <f t="shared" si="63"/>
        <v>9.6372764784922733</v>
      </c>
      <c r="W189" s="63">
        <f t="shared" si="64"/>
        <v>0.60222780046980395</v>
      </c>
      <c r="X189" s="67">
        <f t="shared" si="65"/>
        <v>602.22780046980392</v>
      </c>
      <c r="Y189" s="63"/>
      <c r="Z189" s="121">
        <f t="shared" si="59"/>
        <v>-72.099999999999994</v>
      </c>
      <c r="AA189" s="121">
        <f t="shared" si="66"/>
        <v>-999</v>
      </c>
      <c r="AB189" s="121">
        <f t="shared" si="42"/>
        <v>63</v>
      </c>
      <c r="AC189" s="13"/>
      <c r="AD189" s="84"/>
      <c r="AE189" s="106"/>
      <c r="AF189" s="10"/>
      <c r="AG189" s="109"/>
    </row>
    <row r="190" spans="2:42" x14ac:dyDescent="0.25">
      <c r="B190" s="57">
        <f>IFERROR('Daten Auswertung'!Y98,-999)</f>
        <v>62</v>
      </c>
      <c r="C190" s="57">
        <f>IFERROR('Daten Auswertung'!Z98,-999)</f>
        <v>19341</v>
      </c>
      <c r="D190" s="58">
        <f>IFERROR('Daten Auswertung'!AA98,-999)</f>
        <v>-71.7</v>
      </c>
      <c r="E190" s="60">
        <f t="shared" si="67"/>
        <v>201.45</v>
      </c>
      <c r="F190" s="146">
        <f t="shared" si="68"/>
        <v>95</v>
      </c>
      <c r="G190" s="96" t="e">
        <f t="shared" si="69"/>
        <v>#VALUE!</v>
      </c>
      <c r="I190" s="13">
        <f t="shared" si="60"/>
        <v>62</v>
      </c>
      <c r="J190">
        <f t="shared" si="61"/>
        <v>-71.7</v>
      </c>
      <c r="K190">
        <f t="shared" si="53"/>
        <v>201.45</v>
      </c>
      <c r="O190" s="66">
        <f t="shared" si="54"/>
        <v>-7.0690889342401606</v>
      </c>
      <c r="P190" s="10">
        <f t="shared" si="55"/>
        <v>5.1996593721135471E-3</v>
      </c>
      <c r="Q190" s="145">
        <f t="shared" si="56"/>
        <v>62</v>
      </c>
      <c r="R190">
        <f t="shared" si="41"/>
        <v>5.2168699821348128E-5</v>
      </c>
      <c r="S190" s="9">
        <f t="shared" si="62"/>
        <v>5.2168699821348127E-2</v>
      </c>
      <c r="T190" s="114">
        <f t="shared" si="57"/>
        <v>2.5679282666030915E-5</v>
      </c>
      <c r="U190" s="63">
        <f t="shared" si="58"/>
        <v>9.6282468863090141E-3</v>
      </c>
      <c r="V190" s="113">
        <f t="shared" si="63"/>
        <v>9.6282468863090145</v>
      </c>
      <c r="W190" s="63">
        <f t="shared" si="64"/>
        <v>0.56406658566165324</v>
      </c>
      <c r="X190" s="67">
        <f t="shared" si="65"/>
        <v>564.06658566165322</v>
      </c>
      <c r="Y190" s="63"/>
      <c r="Z190" s="121">
        <f t="shared" si="59"/>
        <v>-71.7</v>
      </c>
      <c r="AA190" s="121">
        <f t="shared" si="66"/>
        <v>-999</v>
      </c>
      <c r="AB190" s="121">
        <f t="shared" si="42"/>
        <v>62</v>
      </c>
      <c r="AC190" s="13"/>
      <c r="AD190" s="84"/>
      <c r="AE190" s="106"/>
      <c r="AF190" s="10"/>
      <c r="AG190" s="109"/>
    </row>
    <row r="191" spans="2:42" x14ac:dyDescent="0.25">
      <c r="B191" s="57">
        <f>IFERROR('Daten Auswertung'!Y99,-999)</f>
        <v>61</v>
      </c>
      <c r="C191" s="57">
        <f>IFERROR('Daten Auswertung'!Z99,-999)</f>
        <v>19437</v>
      </c>
      <c r="D191" s="58">
        <f>IFERROR('Daten Auswertung'!AA99,-999)</f>
        <v>-71.3</v>
      </c>
      <c r="E191" s="60">
        <f t="shared" si="67"/>
        <v>201.84999999999997</v>
      </c>
      <c r="F191" s="146">
        <f t="shared" si="68"/>
        <v>96</v>
      </c>
      <c r="G191" s="96" t="e">
        <f t="shared" si="69"/>
        <v>#VALUE!</v>
      </c>
      <c r="I191" s="13">
        <f t="shared" si="60"/>
        <v>61</v>
      </c>
      <c r="J191">
        <f t="shared" si="61"/>
        <v>-71.3</v>
      </c>
      <c r="K191">
        <f t="shared" si="53"/>
        <v>201.84999999999997</v>
      </c>
      <c r="O191" s="66">
        <f t="shared" si="54"/>
        <v>-7.0157214497924283</v>
      </c>
      <c r="P191" s="10">
        <f t="shared" si="55"/>
        <v>5.4846901545111447E-3</v>
      </c>
      <c r="Q191" s="145">
        <f t="shared" si="56"/>
        <v>61</v>
      </c>
      <c r="R191">
        <f t="shared" si="41"/>
        <v>5.5930885896477726E-5</v>
      </c>
      <c r="S191" s="9">
        <f t="shared" si="62"/>
        <v>5.5930885896477725E-2</v>
      </c>
      <c r="T191" s="114">
        <f t="shared" si="57"/>
        <v>2.606383193058029E-5</v>
      </c>
      <c r="U191" s="63">
        <f t="shared" si="58"/>
        <v>9.6186209645605959E-3</v>
      </c>
      <c r="V191" s="113">
        <f t="shared" si="63"/>
        <v>9.6186209645605967</v>
      </c>
      <c r="W191" s="63">
        <f t="shared" si="64"/>
        <v>0.52829936570572034</v>
      </c>
      <c r="X191" s="67">
        <f t="shared" si="65"/>
        <v>528.29936570572033</v>
      </c>
      <c r="Y191" s="63"/>
      <c r="Z191" s="121">
        <f t="shared" si="59"/>
        <v>-71.3</v>
      </c>
      <c r="AA191" s="121">
        <f t="shared" si="66"/>
        <v>-999</v>
      </c>
      <c r="AB191" s="121">
        <f t="shared" si="42"/>
        <v>61</v>
      </c>
      <c r="AC191" s="13"/>
      <c r="AD191" s="84"/>
      <c r="AE191" s="106"/>
      <c r="AF191" s="10"/>
      <c r="AG191" s="109"/>
    </row>
    <row r="192" spans="2:42" x14ac:dyDescent="0.25">
      <c r="B192" s="57">
        <f>IFERROR('Daten Auswertung'!Y100,-999)</f>
        <v>60.1</v>
      </c>
      <c r="C192" s="57">
        <f>IFERROR('Daten Auswertung'!Z100,-999)</f>
        <v>19525</v>
      </c>
      <c r="D192" s="58">
        <f>IFERROR('Daten Auswertung'!AA100,-999)</f>
        <v>-70.900000000000006</v>
      </c>
      <c r="E192" s="60">
        <f t="shared" si="67"/>
        <v>202.24999999999997</v>
      </c>
      <c r="F192" s="146">
        <f t="shared" si="68"/>
        <v>88</v>
      </c>
      <c r="G192" s="96" t="e">
        <f t="shared" si="69"/>
        <v>#VALUE!</v>
      </c>
      <c r="I192" s="13">
        <f t="shared" si="60"/>
        <v>60.1</v>
      </c>
      <c r="J192">
        <f t="shared" si="61"/>
        <v>-70.900000000000006</v>
      </c>
      <c r="K192">
        <f t="shared" si="53"/>
        <v>202.24999999999997</v>
      </c>
      <c r="O192" s="66">
        <f t="shared" si="54"/>
        <v>-6.9625650604624099</v>
      </c>
      <c r="P192" s="10">
        <f t="shared" si="55"/>
        <v>5.784124397814173E-3</v>
      </c>
      <c r="Q192" s="145">
        <f t="shared" si="56"/>
        <v>60.1</v>
      </c>
      <c r="R192">
        <f t="shared" si="41"/>
        <v>5.9868080863021394E-5</v>
      </c>
      <c r="S192" s="9">
        <f t="shared" si="62"/>
        <v>5.9868080863021395E-2</v>
      </c>
      <c r="T192" s="114">
        <f t="shared" si="57"/>
        <v>3.3412691951907592E-4</v>
      </c>
      <c r="U192" s="63">
        <f t="shared" si="58"/>
        <v>9.6086280267853753E-3</v>
      </c>
      <c r="V192" s="113">
        <f t="shared" si="63"/>
        <v>9.6086280267853752</v>
      </c>
      <c r="W192" s="63">
        <f t="shared" si="64"/>
        <v>0.4955955814023329</v>
      </c>
      <c r="X192" s="67">
        <f t="shared" si="65"/>
        <v>495.59558140233287</v>
      </c>
      <c r="Y192" s="63"/>
      <c r="Z192" s="121">
        <f t="shared" si="59"/>
        <v>-70.900000000000006</v>
      </c>
      <c r="AA192" s="121">
        <f t="shared" si="66"/>
        <v>-999</v>
      </c>
      <c r="AB192" s="121">
        <f t="shared" si="42"/>
        <v>60.1</v>
      </c>
      <c r="AC192" s="13"/>
      <c r="AD192" s="84"/>
      <c r="AE192" s="106"/>
      <c r="AF192" s="10"/>
      <c r="AG192" s="109"/>
    </row>
    <row r="193" spans="2:33" x14ac:dyDescent="0.25">
      <c r="B193" s="57">
        <f>IFERROR('Daten Auswertung'!Y101,-999)</f>
        <v>58.6</v>
      </c>
      <c r="C193" s="57">
        <f>IFERROR('Daten Auswertung'!Z101,-999)</f>
        <v>19677</v>
      </c>
      <c r="D193" s="58">
        <f>IFERROR('Daten Auswertung'!AA101,-999)</f>
        <v>-65.900000000000006</v>
      </c>
      <c r="E193" s="60">
        <f t="shared" si="67"/>
        <v>207.24999999999997</v>
      </c>
      <c r="F193" s="146">
        <f t="shared" si="68"/>
        <v>152</v>
      </c>
      <c r="G193" s="96" t="e">
        <f t="shared" si="69"/>
        <v>#VALUE!</v>
      </c>
      <c r="I193" s="13">
        <f t="shared" si="60"/>
        <v>58.6</v>
      </c>
      <c r="J193">
        <f t="shared" si="61"/>
        <v>-65.900000000000006</v>
      </c>
      <c r="K193">
        <f t="shared" si="53"/>
        <v>207.24999999999997</v>
      </c>
      <c r="O193" s="66">
        <f t="shared" si="54"/>
        <v>-6.3154228900001623</v>
      </c>
      <c r="P193" s="10">
        <f t="shared" si="55"/>
        <v>1.1048107676494466E-2</v>
      </c>
      <c r="Q193" s="145">
        <f t="shared" si="56"/>
        <v>58.6</v>
      </c>
      <c r="R193">
        <f t="shared" si="41"/>
        <v>1.1729042341308614E-4</v>
      </c>
      <c r="S193" s="9">
        <f t="shared" si="62"/>
        <v>0.11729042341308614</v>
      </c>
      <c r="T193" s="114">
        <f t="shared" si="57"/>
        <v>-2.0255760040045215E-5</v>
      </c>
      <c r="U193" s="63">
        <f t="shared" si="58"/>
        <v>9.47217770633761E-3</v>
      </c>
      <c r="V193" s="113">
        <f t="shared" si="63"/>
        <v>9.4721777063376091</v>
      </c>
      <c r="W193" s="63">
        <f t="shared" si="64"/>
        <v>0.26625021027820089</v>
      </c>
      <c r="X193" s="67">
        <f t="shared" si="65"/>
        <v>266.25021027820088</v>
      </c>
      <c r="Y193" s="63"/>
      <c r="Z193" s="121">
        <f t="shared" si="59"/>
        <v>-65.900000000000006</v>
      </c>
      <c r="AA193" s="121">
        <f t="shared" si="66"/>
        <v>-999</v>
      </c>
      <c r="AB193" s="121">
        <f t="shared" si="42"/>
        <v>58.6</v>
      </c>
      <c r="AC193" s="13"/>
      <c r="AD193" s="84"/>
      <c r="AE193" s="106"/>
      <c r="AF193" s="10"/>
      <c r="AG193" s="109"/>
    </row>
    <row r="194" spans="2:33" x14ac:dyDescent="0.25">
      <c r="B194" s="57">
        <f>IFERROR('Daten Auswertung'!Y102,-999)</f>
        <v>58</v>
      </c>
      <c r="C194" s="57">
        <f>IFERROR('Daten Auswertung'!Z102,-999)</f>
        <v>19739</v>
      </c>
      <c r="D194" s="58">
        <f>IFERROR('Daten Auswertung'!AA102,-999)</f>
        <v>-66.2</v>
      </c>
      <c r="E194" s="60">
        <f t="shared" si="67"/>
        <v>206.95</v>
      </c>
      <c r="F194" s="146">
        <f t="shared" si="68"/>
        <v>62</v>
      </c>
      <c r="G194" s="96" t="e">
        <f t="shared" si="69"/>
        <v>#VALUE!</v>
      </c>
      <c r="I194" s="13">
        <f t="shared" si="60"/>
        <v>58</v>
      </c>
      <c r="J194">
        <f t="shared" si="61"/>
        <v>-66.2</v>
      </c>
      <c r="K194">
        <f t="shared" si="53"/>
        <v>206.95</v>
      </c>
      <c r="O194" s="66">
        <f t="shared" si="54"/>
        <v>-6.3533695932548575</v>
      </c>
      <c r="P194" s="10">
        <f t="shared" si="55"/>
        <v>1.0636723120145634E-2</v>
      </c>
      <c r="Q194" s="145">
        <f t="shared" si="56"/>
        <v>58</v>
      </c>
      <c r="R194">
        <f t="shared" si="41"/>
        <v>1.1409060915432357E-4</v>
      </c>
      <c r="S194" s="9">
        <f t="shared" si="62"/>
        <v>0.11409060915432356</v>
      </c>
      <c r="T194" s="114">
        <f t="shared" si="57"/>
        <v>-6.2491445056700229E-5</v>
      </c>
      <c r="U194" s="63">
        <f t="shared" si="58"/>
        <v>9.4792234943844294E-3</v>
      </c>
      <c r="V194" s="113">
        <f t="shared" si="63"/>
        <v>9.4792234943844296</v>
      </c>
      <c r="W194" s="63">
        <f t="shared" si="64"/>
        <v>0.2728910263870718</v>
      </c>
      <c r="X194" s="67">
        <f t="shared" si="65"/>
        <v>272.8910263870718</v>
      </c>
      <c r="Y194" s="63"/>
      <c r="Z194" s="121">
        <f t="shared" si="59"/>
        <v>-66.2</v>
      </c>
      <c r="AA194" s="121">
        <f t="shared" si="66"/>
        <v>-999</v>
      </c>
      <c r="AB194" s="121">
        <f t="shared" si="42"/>
        <v>58</v>
      </c>
      <c r="AC194" s="13"/>
      <c r="AD194" s="84"/>
      <c r="AE194" s="106"/>
      <c r="AF194" s="10"/>
      <c r="AG194" s="109"/>
    </row>
    <row r="195" spans="2:33" x14ac:dyDescent="0.25">
      <c r="B195" s="57">
        <f>IFERROR('Daten Auswertung'!Y103,-999)</f>
        <v>56.4</v>
      </c>
      <c r="C195" s="57">
        <f>IFERROR('Daten Auswertung'!Z103,-999)</f>
        <v>19909</v>
      </c>
      <c r="D195" s="58">
        <f>IFERROR('Daten Auswertung'!AA103,-999)</f>
        <v>-67.099999999999994</v>
      </c>
      <c r="E195" s="60">
        <f t="shared" si="67"/>
        <v>206.04999999999998</v>
      </c>
      <c r="F195" s="146">
        <f t="shared" si="68"/>
        <v>170</v>
      </c>
      <c r="G195" s="96" t="e">
        <f t="shared" si="69"/>
        <v>#VALUE!</v>
      </c>
      <c r="I195" s="13">
        <f t="shared" si="60"/>
        <v>56.4</v>
      </c>
      <c r="J195">
        <f t="shared" si="61"/>
        <v>-67.099999999999994</v>
      </c>
      <c r="K195">
        <f t="shared" si="53"/>
        <v>206.04999999999998</v>
      </c>
      <c r="O195" s="66">
        <f t="shared" si="54"/>
        <v>-6.4678726883706421</v>
      </c>
      <c r="P195" s="10">
        <f t="shared" si="55"/>
        <v>9.4859273041288002E-3</v>
      </c>
      <c r="Q195" s="145">
        <f t="shared" si="56"/>
        <v>56.4</v>
      </c>
      <c r="R195">
        <f t="shared" si="41"/>
        <v>1.0463190272679206E-4</v>
      </c>
      <c r="S195" s="9">
        <f t="shared" si="62"/>
        <v>0.10463190272679206</v>
      </c>
      <c r="T195" s="114">
        <f t="shared" si="57"/>
        <v>6.9930394143605665E-6</v>
      </c>
      <c r="U195" s="63">
        <f t="shared" si="58"/>
        <v>9.5003573161906683E-3</v>
      </c>
      <c r="V195" s="113">
        <f t="shared" si="63"/>
        <v>9.5003573161906676</v>
      </c>
      <c r="W195" s="63">
        <f t="shared" si="64"/>
        <v>0.29486657555408635</v>
      </c>
      <c r="X195" s="67">
        <f t="shared" si="65"/>
        <v>294.86657555408635</v>
      </c>
      <c r="Y195" s="63"/>
      <c r="Z195" s="121">
        <f t="shared" si="59"/>
        <v>-67.099999999999994</v>
      </c>
      <c r="AA195" s="121">
        <f t="shared" si="66"/>
        <v>-999</v>
      </c>
      <c r="AB195" s="121">
        <f t="shared" si="42"/>
        <v>56.4</v>
      </c>
      <c r="AC195" s="13"/>
      <c r="AD195" s="84"/>
      <c r="AE195" s="106"/>
      <c r="AF195" s="10"/>
      <c r="AG195" s="109"/>
    </row>
    <row r="196" spans="2:33" x14ac:dyDescent="0.25">
      <c r="B196" s="57">
        <f>IFERROR('Daten Auswertung'!Y104,-999)</f>
        <v>56</v>
      </c>
      <c r="C196" s="57">
        <f>IFERROR('Daten Auswertung'!Z104,-999)</f>
        <v>19952</v>
      </c>
      <c r="D196" s="58">
        <f>IFERROR('Daten Auswertung'!AA104,-999)</f>
        <v>-67</v>
      </c>
      <c r="E196" s="60">
        <f t="shared" si="67"/>
        <v>206.14999999999998</v>
      </c>
      <c r="F196" s="146">
        <f t="shared" si="68"/>
        <v>43</v>
      </c>
      <c r="G196" s="96" t="e">
        <f t="shared" si="69"/>
        <v>#VALUE!</v>
      </c>
      <c r="I196" s="13">
        <f t="shared" si="60"/>
        <v>56</v>
      </c>
      <c r="J196">
        <f t="shared" si="61"/>
        <v>-67</v>
      </c>
      <c r="K196">
        <f t="shared" si="53"/>
        <v>206.14999999999998</v>
      </c>
      <c r="O196" s="66">
        <f t="shared" si="54"/>
        <v>-6.455100750173421</v>
      </c>
      <c r="P196" s="10">
        <f t="shared" si="55"/>
        <v>9.6078579693942585E-3</v>
      </c>
      <c r="Q196" s="145">
        <f t="shared" si="56"/>
        <v>56</v>
      </c>
      <c r="R196">
        <f t="shared" si="41"/>
        <v>1.0673416327936605E-4</v>
      </c>
      <c r="S196" s="9">
        <f t="shared" si="62"/>
        <v>0.10673416327936605</v>
      </c>
      <c r="T196" s="114">
        <f t="shared" si="57"/>
        <v>1.4240361624891504E-5</v>
      </c>
      <c r="U196" s="63">
        <f t="shared" si="58"/>
        <v>9.4953334751475185E-3</v>
      </c>
      <c r="V196" s="113">
        <f t="shared" si="63"/>
        <v>9.4953334751475182</v>
      </c>
      <c r="W196" s="63">
        <f t="shared" si="64"/>
        <v>0.28936443626363045</v>
      </c>
      <c r="X196" s="67">
        <f t="shared" si="65"/>
        <v>289.36443626363047</v>
      </c>
      <c r="Y196" s="63"/>
      <c r="Z196" s="121">
        <f t="shared" si="59"/>
        <v>-67</v>
      </c>
      <c r="AA196" s="121">
        <f t="shared" si="66"/>
        <v>-999</v>
      </c>
      <c r="AB196" s="121">
        <f t="shared" si="42"/>
        <v>56</v>
      </c>
      <c r="AC196" s="13"/>
      <c r="AD196" s="84"/>
      <c r="AE196" s="106"/>
      <c r="AF196" s="10"/>
      <c r="AG196" s="109"/>
    </row>
    <row r="197" spans="2:33" x14ac:dyDescent="0.25">
      <c r="B197" s="57">
        <f>IFERROR('Daten Auswertung'!Y105,-999)</f>
        <v>55</v>
      </c>
      <c r="C197" s="57">
        <f>IFERROR('Daten Auswertung'!Z105,-999)</f>
        <v>20061</v>
      </c>
      <c r="D197" s="58">
        <f>IFERROR('Daten Auswertung'!AA105,-999)</f>
        <v>-66.8</v>
      </c>
      <c r="E197" s="60">
        <f t="shared" si="67"/>
        <v>206.34999999999997</v>
      </c>
      <c r="F197" s="146">
        <f t="shared" si="68"/>
        <v>109</v>
      </c>
      <c r="G197" s="96" t="e">
        <f t="shared" si="69"/>
        <v>#VALUE!</v>
      </c>
      <c r="I197" s="13">
        <f t="shared" si="60"/>
        <v>55</v>
      </c>
      <c r="J197">
        <f t="shared" si="61"/>
        <v>-66.8</v>
      </c>
      <c r="K197">
        <f t="shared" si="53"/>
        <v>206.34999999999997</v>
      </c>
      <c r="O197" s="66">
        <f t="shared" si="54"/>
        <v>-6.4295940105026013</v>
      </c>
      <c r="P197" s="10">
        <f t="shared" si="55"/>
        <v>9.8560752509609852E-3</v>
      </c>
      <c r="Q197" s="145">
        <f t="shared" si="56"/>
        <v>55</v>
      </c>
      <c r="R197">
        <f t="shared" si="41"/>
        <v>1.1148322896712096E-4</v>
      </c>
      <c r="S197" s="9">
        <f t="shared" si="62"/>
        <v>0.11148322896712096</v>
      </c>
      <c r="T197" s="114">
        <f t="shared" si="57"/>
        <v>2.2166586250232354E-5</v>
      </c>
      <c r="U197" s="63">
        <f t="shared" si="58"/>
        <v>9.4839705988995996E-3</v>
      </c>
      <c r="V197" s="113">
        <f t="shared" si="63"/>
        <v>9.4839705988995995</v>
      </c>
      <c r="W197" s="63">
        <f t="shared" si="64"/>
        <v>0.27762984027346049</v>
      </c>
      <c r="X197" s="67">
        <f t="shared" si="65"/>
        <v>277.6298402734605</v>
      </c>
      <c r="Y197" s="63"/>
      <c r="Z197" s="121">
        <f t="shared" si="59"/>
        <v>-66.8</v>
      </c>
      <c r="AA197" s="121">
        <f t="shared" si="66"/>
        <v>-999</v>
      </c>
      <c r="AB197" s="121">
        <f t="shared" si="42"/>
        <v>55</v>
      </c>
      <c r="AC197" s="13"/>
      <c r="AD197" s="84"/>
      <c r="AE197" s="106"/>
      <c r="AF197" s="10"/>
      <c r="AG197" s="109"/>
    </row>
    <row r="198" spans="2:33" x14ac:dyDescent="0.25">
      <c r="B198" s="57">
        <f>IFERROR('Daten Auswertung'!Y106,-999)</f>
        <v>53</v>
      </c>
      <c r="C198" s="57">
        <f>IFERROR('Daten Auswertung'!Z106,-999)</f>
        <v>20286</v>
      </c>
      <c r="D198" s="58">
        <f>IFERROR('Daten Auswertung'!AA106,-999)</f>
        <v>-66.5</v>
      </c>
      <c r="E198" s="60">
        <f t="shared" si="67"/>
        <v>206.64999999999998</v>
      </c>
      <c r="F198" s="146">
        <f t="shared" si="68"/>
        <v>225</v>
      </c>
      <c r="G198" s="96" t="e">
        <f t="shared" si="69"/>
        <v>#VALUE!</v>
      </c>
      <c r="I198" s="13">
        <f t="shared" si="60"/>
        <v>53</v>
      </c>
      <c r="J198">
        <f t="shared" si="61"/>
        <v>-66.5</v>
      </c>
      <c r="K198">
        <f t="shared" si="53"/>
        <v>206.64999999999998</v>
      </c>
      <c r="O198" s="66">
        <f t="shared" si="54"/>
        <v>-6.3914264732429329</v>
      </c>
      <c r="P198" s="10">
        <f t="shared" si="55"/>
        <v>1.023952855562269E-2</v>
      </c>
      <c r="Q198" s="145">
        <f t="shared" si="56"/>
        <v>53</v>
      </c>
      <c r="R198">
        <f t="shared" si="41"/>
        <v>1.2019278262315402E-4</v>
      </c>
      <c r="S198" s="9">
        <f t="shared" si="62"/>
        <v>0.12019278262315401</v>
      </c>
      <c r="T198" s="114">
        <f t="shared" si="57"/>
        <v>3.0714466402049839E-5</v>
      </c>
      <c r="U198" s="63">
        <f t="shared" si="58"/>
        <v>9.4631292987328933E-3</v>
      </c>
      <c r="V198" s="113">
        <f t="shared" si="63"/>
        <v>9.463129298732893</v>
      </c>
      <c r="W198" s="63">
        <f t="shared" si="64"/>
        <v>0.25835385209789463</v>
      </c>
      <c r="X198" s="67">
        <f t="shared" si="65"/>
        <v>258.35385209789462</v>
      </c>
      <c r="Y198" s="63"/>
      <c r="Z198" s="121">
        <f t="shared" si="59"/>
        <v>-66.5</v>
      </c>
      <c r="AA198" s="121">
        <f t="shared" si="66"/>
        <v>-999</v>
      </c>
      <c r="AB198" s="121">
        <f t="shared" si="42"/>
        <v>53</v>
      </c>
      <c r="AC198" s="13"/>
      <c r="AD198" s="84"/>
      <c r="AE198" s="106"/>
      <c r="AF198" s="10"/>
      <c r="AG198" s="109"/>
    </row>
    <row r="199" spans="2:33" x14ac:dyDescent="0.25">
      <c r="B199" s="57">
        <f>IFERROR('Daten Auswertung'!Y107,-999)</f>
        <v>51</v>
      </c>
      <c r="C199" s="57">
        <f>IFERROR('Daten Auswertung'!Z107,-999)</f>
        <v>20520</v>
      </c>
      <c r="D199" s="58">
        <f>IFERROR('Daten Auswertung'!AA107,-999)</f>
        <v>-66.099999999999994</v>
      </c>
      <c r="E199" s="60">
        <f t="shared" si="67"/>
        <v>207.04999999999998</v>
      </c>
      <c r="F199" s="146">
        <f t="shared" si="68"/>
        <v>234</v>
      </c>
      <c r="G199" s="96" t="e">
        <f t="shared" si="69"/>
        <v>#VALUE!</v>
      </c>
      <c r="I199" s="13">
        <f t="shared" si="60"/>
        <v>51</v>
      </c>
      <c r="J199">
        <f t="shared" si="61"/>
        <v>-66.099999999999994</v>
      </c>
      <c r="K199">
        <f t="shared" si="53"/>
        <v>207.04999999999998</v>
      </c>
      <c r="O199" s="66">
        <f t="shared" si="54"/>
        <v>-6.3407084739607509</v>
      </c>
      <c r="P199" s="10">
        <f t="shared" si="55"/>
        <v>1.0772252104302323E-2</v>
      </c>
      <c r="Q199" s="145">
        <f t="shared" si="56"/>
        <v>51</v>
      </c>
      <c r="R199">
        <f t="shared" si="41"/>
        <v>1.3140698741319072E-4</v>
      </c>
      <c r="S199" s="9">
        <f t="shared" si="62"/>
        <v>0.13140698741319071</v>
      </c>
      <c r="T199" s="114">
        <f t="shared" si="57"/>
        <v>1.566440627143588E-5</v>
      </c>
      <c r="U199" s="63">
        <f t="shared" si="58"/>
        <v>9.4366897422411174E-3</v>
      </c>
      <c r="V199" s="113">
        <f t="shared" si="63"/>
        <v>9.4366897422411178</v>
      </c>
      <c r="W199" s="63">
        <f t="shared" si="64"/>
        <v>0.23733084798363788</v>
      </c>
      <c r="X199" s="67">
        <f t="shared" si="65"/>
        <v>237.33084798363788</v>
      </c>
      <c r="Y199" s="63"/>
      <c r="Z199" s="121">
        <f t="shared" si="59"/>
        <v>-66.099999999999994</v>
      </c>
      <c r="AA199" s="121">
        <f t="shared" si="66"/>
        <v>-999</v>
      </c>
      <c r="AB199" s="121">
        <f t="shared" si="42"/>
        <v>51</v>
      </c>
      <c r="AC199" s="13"/>
      <c r="AD199" s="84"/>
      <c r="AE199" s="106"/>
      <c r="AF199" s="10"/>
      <c r="AG199" s="109"/>
    </row>
    <row r="200" spans="2:33" x14ac:dyDescent="0.25">
      <c r="B200" s="57">
        <f>IFERROR('Daten Auswertung'!Y108,-999)</f>
        <v>50</v>
      </c>
      <c r="C200" s="57">
        <f>IFERROR('Daten Auswertung'!Z108,-999)</f>
        <v>20640</v>
      </c>
      <c r="D200" s="58">
        <f>IFERROR('Daten Auswertung'!AA108,-999)</f>
        <v>-65.900000000000006</v>
      </c>
      <c r="E200" s="60">
        <f t="shared" si="67"/>
        <v>207.24999999999997</v>
      </c>
      <c r="F200" s="146">
        <f t="shared" si="68"/>
        <v>120</v>
      </c>
      <c r="G200" s="96" t="e">
        <f t="shared" si="69"/>
        <v>#VALUE!</v>
      </c>
      <c r="I200" s="13">
        <f t="shared" si="60"/>
        <v>50</v>
      </c>
      <c r="J200">
        <f t="shared" si="61"/>
        <v>-65.900000000000006</v>
      </c>
      <c r="K200">
        <f t="shared" si="53"/>
        <v>207.24999999999997</v>
      </c>
      <c r="O200" s="66">
        <f t="shared" si="54"/>
        <v>-6.3154228900001623</v>
      </c>
      <c r="P200" s="10">
        <f t="shared" si="55"/>
        <v>1.1048107676494466E-2</v>
      </c>
      <c r="Q200" s="145">
        <f t="shared" si="56"/>
        <v>50</v>
      </c>
      <c r="R200">
        <f t="shared" si="41"/>
        <v>1.3746883490539511E-4</v>
      </c>
      <c r="S200" s="9">
        <f t="shared" si="62"/>
        <v>0.1374688349053951</v>
      </c>
      <c r="T200" s="114">
        <f t="shared" si="57"/>
        <v>9.1652754559450129E-5</v>
      </c>
      <c r="U200" s="63">
        <f t="shared" si="58"/>
        <v>9.4225048032077364E-3</v>
      </c>
      <c r="V200" s="113">
        <f t="shared" si="63"/>
        <v>9.4225048032077368</v>
      </c>
      <c r="W200" s="63">
        <f t="shared" si="64"/>
        <v>0.22736037351325869</v>
      </c>
      <c r="X200" s="67">
        <f t="shared" si="65"/>
        <v>227.36037351325868</v>
      </c>
      <c r="Y200" s="63"/>
      <c r="Z200" s="121">
        <f t="shared" si="59"/>
        <v>-65.900000000000006</v>
      </c>
      <c r="AA200" s="121">
        <f t="shared" si="66"/>
        <v>-999</v>
      </c>
      <c r="AB200" s="121">
        <f t="shared" si="42"/>
        <v>50</v>
      </c>
      <c r="AC200" s="13"/>
      <c r="AD200" s="84"/>
      <c r="AE200" s="106"/>
      <c r="AF200" s="10"/>
      <c r="AG200" s="109"/>
    </row>
    <row r="201" spans="2:33" x14ac:dyDescent="0.25">
      <c r="B201" s="57">
        <f>IFERROR('Daten Auswertung'!Y109,-999)</f>
        <v>47</v>
      </c>
      <c r="C201" s="57">
        <f>IFERROR('Daten Auswertung'!Z109,-999)</f>
        <v>21016</v>
      </c>
      <c r="D201" s="58">
        <f>IFERROR('Daten Auswertung'!AA109,-999)</f>
        <v>-64.8</v>
      </c>
      <c r="E201" s="60">
        <f t="shared" si="67"/>
        <v>208.34999999999997</v>
      </c>
      <c r="F201" s="146">
        <f t="shared" si="68"/>
        <v>376</v>
      </c>
      <c r="G201" s="96" t="e">
        <f t="shared" si="69"/>
        <v>#VALUE!</v>
      </c>
      <c r="I201" s="13">
        <f t="shared" si="60"/>
        <v>47</v>
      </c>
      <c r="J201">
        <f t="shared" si="61"/>
        <v>-64.8</v>
      </c>
      <c r="K201">
        <f t="shared" si="53"/>
        <v>208.34999999999997</v>
      </c>
      <c r="O201" s="66">
        <f t="shared" si="54"/>
        <v>-6.1772199100399163</v>
      </c>
      <c r="P201" s="10">
        <f t="shared" si="55"/>
        <v>1.2685532136873116E-2</v>
      </c>
      <c r="Q201" s="145">
        <f t="shared" si="56"/>
        <v>47</v>
      </c>
      <c r="R201">
        <f t="shared" si="41"/>
        <v>1.679261962190178E-4</v>
      </c>
      <c r="S201" s="9">
        <f t="shared" si="62"/>
        <v>0.1679261962190178</v>
      </c>
      <c r="T201" s="114">
        <f t="shared" si="57"/>
        <v>9.7901830615116004E-5</v>
      </c>
      <c r="U201" s="63">
        <f t="shared" si="58"/>
        <v>9.353257713875655E-3</v>
      </c>
      <c r="V201" s="113">
        <f t="shared" si="63"/>
        <v>9.3532577138756547</v>
      </c>
      <c r="W201" s="63">
        <f t="shared" si="64"/>
        <v>0.18833674481880125</v>
      </c>
      <c r="X201" s="67">
        <f t="shared" si="65"/>
        <v>188.33674481880124</v>
      </c>
      <c r="Y201" s="63"/>
      <c r="Z201" s="121">
        <f t="shared" si="59"/>
        <v>-64.8</v>
      </c>
      <c r="AA201" s="121">
        <f t="shared" si="66"/>
        <v>-999</v>
      </c>
      <c r="AB201" s="121">
        <f t="shared" si="42"/>
        <v>47</v>
      </c>
      <c r="AC201" s="13"/>
      <c r="AD201" s="84"/>
      <c r="AE201" s="106"/>
      <c r="AF201" s="10"/>
      <c r="AG201" s="109"/>
    </row>
    <row r="202" spans="2:33" x14ac:dyDescent="0.25">
      <c r="B202" s="57">
        <f>IFERROR('Daten Auswertung'!Y110,-999)</f>
        <v>44</v>
      </c>
      <c r="C202" s="57">
        <f>IFERROR('Daten Auswertung'!Z110,-999)</f>
        <v>21417</v>
      </c>
      <c r="D202" s="58">
        <f>IFERROR('Daten Auswertung'!AA110,-999)</f>
        <v>-63.7</v>
      </c>
      <c r="E202" s="60">
        <f t="shared" si="67"/>
        <v>209.45</v>
      </c>
      <c r="F202" s="146">
        <f t="shared" si="68"/>
        <v>401</v>
      </c>
      <c r="G202" s="96" t="e">
        <f t="shared" si="69"/>
        <v>#VALUE!</v>
      </c>
      <c r="I202" s="13">
        <f t="shared" si="60"/>
        <v>44</v>
      </c>
      <c r="J202">
        <f t="shared" si="61"/>
        <v>-63.7</v>
      </c>
      <c r="K202">
        <f t="shared" si="53"/>
        <v>209.45</v>
      </c>
      <c r="O202" s="66">
        <f t="shared" si="54"/>
        <v>-6.0404685727433671</v>
      </c>
      <c r="P202" s="10">
        <f t="shared" si="55"/>
        <v>1.4544508207048288E-2</v>
      </c>
      <c r="Q202" s="145">
        <f t="shared" si="56"/>
        <v>44</v>
      </c>
      <c r="R202">
        <f t="shared" ref="R202:R251" si="70">(0.622*P202)/(Q202-P202)</f>
        <v>2.0567444405508121E-4</v>
      </c>
      <c r="S202" s="9">
        <f t="shared" si="62"/>
        <v>0.2056744440550812</v>
      </c>
      <c r="T202" s="114">
        <f t="shared" si="57"/>
        <v>5.5156258269865399E-5</v>
      </c>
      <c r="U202" s="63">
        <f t="shared" si="58"/>
        <v>9.269923114024024E-3</v>
      </c>
      <c r="V202" s="113">
        <f t="shared" si="63"/>
        <v>9.2699231140240244</v>
      </c>
      <c r="W202" s="63">
        <f t="shared" si="64"/>
        <v>0.15563519195997044</v>
      </c>
      <c r="X202" s="67">
        <f t="shared" si="65"/>
        <v>155.63519195997046</v>
      </c>
      <c r="Y202" s="63"/>
      <c r="Z202" s="121">
        <f t="shared" si="59"/>
        <v>-63.7</v>
      </c>
      <c r="AA202" s="121">
        <f t="shared" si="66"/>
        <v>-999</v>
      </c>
      <c r="AB202" s="121">
        <f t="shared" ref="AB202:AB251" si="71">Q202</f>
        <v>44</v>
      </c>
      <c r="AC202" s="13"/>
      <c r="AD202" s="84"/>
      <c r="AE202" s="106"/>
      <c r="AF202" s="10"/>
      <c r="AG202" s="109"/>
    </row>
    <row r="203" spans="2:33" x14ac:dyDescent="0.25">
      <c r="B203" s="57">
        <f>IFERROR('Daten Auswertung'!Y111,-999)</f>
        <v>42.6</v>
      </c>
      <c r="C203" s="57">
        <f>IFERROR('Daten Auswertung'!Z111,-999)</f>
        <v>21613</v>
      </c>
      <c r="D203" s="58">
        <f>IFERROR('Daten Auswertung'!AA111,-999)</f>
        <v>-63.1</v>
      </c>
      <c r="E203" s="60">
        <f t="shared" si="67"/>
        <v>210.04999999999998</v>
      </c>
      <c r="F203" s="146">
        <f t="shared" si="68"/>
        <v>196</v>
      </c>
      <c r="G203" s="96" t="e">
        <f t="shared" si="69"/>
        <v>#VALUE!</v>
      </c>
      <c r="I203" s="13">
        <f t="shared" si="60"/>
        <v>42.6</v>
      </c>
      <c r="J203">
        <f t="shared" si="61"/>
        <v>-63.1</v>
      </c>
      <c r="K203">
        <f t="shared" si="53"/>
        <v>210.04999999999998</v>
      </c>
      <c r="O203" s="66">
        <f t="shared" si="54"/>
        <v>-5.9664806275552484</v>
      </c>
      <c r="P203" s="10">
        <f t="shared" si="55"/>
        <v>1.5661436623109808E-2</v>
      </c>
      <c r="Q203" s="145">
        <f t="shared" si="56"/>
        <v>42.6</v>
      </c>
      <c r="R203">
        <f t="shared" si="70"/>
        <v>2.287557798996096E-4</v>
      </c>
      <c r="S203" s="9">
        <f t="shared" si="62"/>
        <v>0.2287557798996096</v>
      </c>
      <c r="T203" s="114">
        <f t="shared" si="57"/>
        <v>-1.5876427603941362E-4</v>
      </c>
      <c r="U203" s="63">
        <f t="shared" si="58"/>
        <v>9.2203536485153791E-3</v>
      </c>
      <c r="V203" s="113">
        <f t="shared" si="63"/>
        <v>9.2203536485153794</v>
      </c>
      <c r="W203" s="63">
        <f t="shared" si="64"/>
        <v>0.140864750759535</v>
      </c>
      <c r="X203" s="67">
        <f t="shared" si="65"/>
        <v>140.86475075953501</v>
      </c>
      <c r="Y203" s="63"/>
      <c r="Z203" s="121">
        <f t="shared" si="59"/>
        <v>-63.1</v>
      </c>
      <c r="AA203" s="121">
        <f t="shared" si="66"/>
        <v>-999</v>
      </c>
      <c r="AB203" s="121">
        <f t="shared" si="71"/>
        <v>42.6</v>
      </c>
      <c r="AC203" s="13"/>
      <c r="AD203" s="84"/>
      <c r="AE203" s="106"/>
      <c r="AF203" s="10"/>
      <c r="AG203" s="109"/>
    </row>
    <row r="204" spans="2:33" x14ac:dyDescent="0.25">
      <c r="B204" s="57">
        <f>IFERROR('Daten Auswertung'!Y112,-999)</f>
        <v>37</v>
      </c>
      <c r="C204" s="57">
        <f>IFERROR('Daten Auswertung'!Z112,-999)</f>
        <v>22468</v>
      </c>
      <c r="D204" s="58">
        <f>IFERROR('Daten Auswertung'!AA112,-999)</f>
        <v>-64.599999999999994</v>
      </c>
      <c r="E204" s="60">
        <f t="shared" si="67"/>
        <v>208.54999999999998</v>
      </c>
      <c r="F204" s="146">
        <f t="shared" si="68"/>
        <v>855</v>
      </c>
      <c r="G204" s="96" t="e">
        <f t="shared" si="69"/>
        <v>#VALUE!</v>
      </c>
      <c r="I204" s="13">
        <f t="shared" si="60"/>
        <v>37</v>
      </c>
      <c r="J204">
        <f t="shared" si="61"/>
        <v>-64.599999999999994</v>
      </c>
      <c r="K204">
        <f t="shared" si="53"/>
        <v>208.54999999999998</v>
      </c>
      <c r="O204" s="66">
        <f t="shared" si="54"/>
        <v>-6.152248730164354</v>
      </c>
      <c r="P204" s="10">
        <f t="shared" si="55"/>
        <v>1.30062930634414E-2</v>
      </c>
      <c r="Q204" s="145">
        <f t="shared" si="56"/>
        <v>37</v>
      </c>
      <c r="R204">
        <f t="shared" si="70"/>
        <v>2.1872321793872543E-4</v>
      </c>
      <c r="S204" s="9">
        <f t="shared" si="62"/>
        <v>0.21872321793872543</v>
      </c>
      <c r="T204" s="114">
        <f t="shared" si="57"/>
        <v>-1.4240656932616434E-4</v>
      </c>
      <c r="U204" s="63">
        <f t="shared" si="58"/>
        <v>9.2353155149549667E-3</v>
      </c>
      <c r="V204" s="113">
        <f t="shared" si="63"/>
        <v>9.2353155149549675</v>
      </c>
      <c r="W204" s="63">
        <f t="shared" si="64"/>
        <v>0.14517890853607299</v>
      </c>
      <c r="X204" s="67">
        <f t="shared" si="65"/>
        <v>145.17890853607298</v>
      </c>
      <c r="Y204" s="63"/>
      <c r="Z204" s="121">
        <f t="shared" si="59"/>
        <v>-64.599999999999994</v>
      </c>
      <c r="AA204" s="121">
        <f t="shared" si="66"/>
        <v>-999</v>
      </c>
      <c r="AB204" s="121">
        <f t="shared" si="71"/>
        <v>37</v>
      </c>
      <c r="AC204" s="13"/>
      <c r="AD204" s="84"/>
      <c r="AE204" s="106"/>
      <c r="AF204" s="10"/>
      <c r="AG204" s="109"/>
    </row>
    <row r="205" spans="2:33" x14ac:dyDescent="0.25">
      <c r="B205" s="57">
        <f>IFERROR('Daten Auswertung'!Y113,-999)</f>
        <v>33</v>
      </c>
      <c r="C205" s="57">
        <f>IFERROR('Daten Auswertung'!Z113,-999)</f>
        <v>23163</v>
      </c>
      <c r="D205" s="58">
        <f>IFERROR('Daten Auswertung'!AA113,-999)</f>
        <v>-65.8</v>
      </c>
      <c r="E205" s="60">
        <f t="shared" si="67"/>
        <v>207.34999999999997</v>
      </c>
      <c r="F205" s="146">
        <f t="shared" si="68"/>
        <v>695</v>
      </c>
      <c r="G205" s="96" t="e">
        <f t="shared" si="69"/>
        <v>#VALUE!</v>
      </c>
      <c r="I205" s="13">
        <f t="shared" si="60"/>
        <v>33</v>
      </c>
      <c r="J205">
        <f t="shared" si="61"/>
        <v>-65.8</v>
      </c>
      <c r="K205">
        <f t="shared" si="53"/>
        <v>207.34999999999997</v>
      </c>
      <c r="O205" s="66">
        <f t="shared" si="54"/>
        <v>-6.3027983899783671</v>
      </c>
      <c r="P205" s="10">
        <f t="shared" si="55"/>
        <v>1.1188468641397147E-2</v>
      </c>
      <c r="Q205" s="145">
        <f t="shared" si="56"/>
        <v>33</v>
      </c>
      <c r="R205">
        <f t="shared" si="70"/>
        <v>2.1095720554630175E-4</v>
      </c>
      <c r="S205" s="9">
        <f t="shared" si="62"/>
        <v>0.21095720554630173</v>
      </c>
      <c r="T205" s="114">
        <f t="shared" si="57"/>
        <v>-6.1964376063202123E-5</v>
      </c>
      <c r="U205" s="63">
        <f t="shared" si="58"/>
        <v>9.247112827824153E-3</v>
      </c>
      <c r="V205" s="113">
        <f t="shared" si="63"/>
        <v>9.2471128278241537</v>
      </c>
      <c r="W205" s="63">
        <f t="shared" si="64"/>
        <v>0.14875584037403414</v>
      </c>
      <c r="X205" s="67">
        <f t="shared" si="65"/>
        <v>148.75584037403414</v>
      </c>
      <c r="Y205" s="63"/>
      <c r="Z205" s="121">
        <f t="shared" si="59"/>
        <v>-65.8</v>
      </c>
      <c r="AA205" s="121">
        <f t="shared" si="66"/>
        <v>-999</v>
      </c>
      <c r="AB205" s="121">
        <f t="shared" si="71"/>
        <v>33</v>
      </c>
      <c r="AC205" s="13"/>
      <c r="AD205" s="84"/>
      <c r="AE205" s="106"/>
      <c r="AF205" s="10"/>
      <c r="AG205" s="109"/>
    </row>
    <row r="206" spans="2:33" x14ac:dyDescent="0.25">
      <c r="B206" s="57">
        <f>IFERROR('Daten Auswertung'!Y114,-999)</f>
        <v>31.6</v>
      </c>
      <c r="C206" s="57">
        <f>IFERROR('Daten Auswertung'!Z114,-999)</f>
        <v>23426</v>
      </c>
      <c r="D206" s="58">
        <f>IFERROR('Daten Auswertung'!AA114,-999)</f>
        <v>-66.3</v>
      </c>
      <c r="E206" s="60">
        <f t="shared" si="67"/>
        <v>206.84999999999997</v>
      </c>
      <c r="F206" s="146">
        <f t="shared" si="68"/>
        <v>263</v>
      </c>
      <c r="G206" s="96" t="e">
        <f t="shared" si="69"/>
        <v>#VALUE!</v>
      </c>
      <c r="I206" s="13">
        <f t="shared" si="60"/>
        <v>31.6</v>
      </c>
      <c r="J206">
        <f t="shared" si="61"/>
        <v>-66.3</v>
      </c>
      <c r="K206">
        <f t="shared" si="53"/>
        <v>206.84999999999997</v>
      </c>
      <c r="O206" s="66">
        <f t="shared" si="54"/>
        <v>-6.3660429543853656</v>
      </c>
      <c r="P206" s="10">
        <f t="shared" si="55"/>
        <v>1.0502770693423171E-2</v>
      </c>
      <c r="Q206" s="145">
        <f t="shared" si="56"/>
        <v>31.6</v>
      </c>
      <c r="R206">
        <f t="shared" si="70"/>
        <v>2.0680048574019715E-4</v>
      </c>
      <c r="S206" s="9">
        <f t="shared" si="62"/>
        <v>0.20680048574019716</v>
      </c>
      <c r="T206" s="114">
        <f t="shared" si="57"/>
        <v>8.8427798164080048E-5</v>
      </c>
      <c r="U206" s="63">
        <f t="shared" si="58"/>
        <v>9.2543098337150662E-3</v>
      </c>
      <c r="V206" s="113">
        <f t="shared" si="63"/>
        <v>9.254309833715066</v>
      </c>
      <c r="W206" s="63">
        <f t="shared" si="64"/>
        <v>0.15099189750001404</v>
      </c>
      <c r="X206" s="67">
        <f t="shared" si="65"/>
        <v>150.99189750001403</v>
      </c>
      <c r="Y206" s="63"/>
      <c r="Z206" s="121">
        <f t="shared" si="59"/>
        <v>-66.3</v>
      </c>
      <c r="AA206" s="121">
        <f t="shared" si="66"/>
        <v>-999</v>
      </c>
      <c r="AB206" s="121">
        <f t="shared" si="71"/>
        <v>31.6</v>
      </c>
      <c r="AC206" s="13"/>
      <c r="AD206" s="84"/>
      <c r="AE206" s="106"/>
      <c r="AF206" s="10"/>
      <c r="AG206" s="109"/>
    </row>
    <row r="207" spans="2:33" x14ac:dyDescent="0.25">
      <c r="B207" s="57">
        <f>IFERROR('Daten Auswertung'!Y115,-999)</f>
        <v>31</v>
      </c>
      <c r="C207" s="57">
        <f>IFERROR('Daten Auswertung'!Z115,-999)</f>
        <v>23542</v>
      </c>
      <c r="D207" s="58">
        <f>IFERROR('Daten Auswertung'!AA115,-999)</f>
        <v>-65.599999999999994</v>
      </c>
      <c r="E207" s="60">
        <f t="shared" si="67"/>
        <v>207.54999999999998</v>
      </c>
      <c r="F207" s="146">
        <f t="shared" si="68"/>
        <v>116</v>
      </c>
      <c r="G207" s="96" t="e">
        <f t="shared" si="69"/>
        <v>#VALUE!</v>
      </c>
      <c r="I207" s="13">
        <f t="shared" si="60"/>
        <v>31</v>
      </c>
      <c r="J207">
        <f t="shared" si="61"/>
        <v>-65.599999999999994</v>
      </c>
      <c r="K207">
        <f t="shared" si="53"/>
        <v>207.54999999999998</v>
      </c>
      <c r="O207" s="66">
        <f t="shared" si="54"/>
        <v>-6.2775858857189801</v>
      </c>
      <c r="P207" s="10">
        <f t="shared" si="55"/>
        <v>1.147414411897303E-2</v>
      </c>
      <c r="Q207" s="145">
        <f t="shared" si="56"/>
        <v>31</v>
      </c>
      <c r="R207">
        <f t="shared" si="70"/>
        <v>2.3030839463590602E-4</v>
      </c>
      <c r="S207" s="9">
        <f t="shared" si="62"/>
        <v>0.23030839463590602</v>
      </c>
      <c r="T207" s="114">
        <f t="shared" si="57"/>
        <v>1.4358923372796036E-4</v>
      </c>
      <c r="U207" s="63">
        <f t="shared" si="58"/>
        <v>9.2032059142490401E-3</v>
      </c>
      <c r="V207" s="113">
        <f t="shared" si="63"/>
        <v>9.2032059142490397</v>
      </c>
      <c r="W207" s="63">
        <f t="shared" si="64"/>
        <v>0.13662870752565284</v>
      </c>
      <c r="X207" s="67">
        <f t="shared" si="65"/>
        <v>136.62870752565286</v>
      </c>
      <c r="Y207" s="63"/>
      <c r="Z207" s="121">
        <f t="shared" si="59"/>
        <v>-65.599999999999994</v>
      </c>
      <c r="AA207" s="121">
        <f t="shared" si="66"/>
        <v>-999</v>
      </c>
      <c r="AB207" s="121">
        <f t="shared" si="71"/>
        <v>31</v>
      </c>
      <c r="AC207" s="13"/>
      <c r="AD207" s="84"/>
      <c r="AE207" s="106"/>
      <c r="AF207" s="10"/>
      <c r="AG207" s="109"/>
    </row>
    <row r="208" spans="2:33" x14ac:dyDescent="0.25">
      <c r="B208" s="57">
        <f>IFERROR('Daten Auswertung'!Y116,-999)</f>
        <v>30</v>
      </c>
      <c r="C208" s="57">
        <f>IFERROR('Daten Auswertung'!Z116,-999)</f>
        <v>23740</v>
      </c>
      <c r="D208" s="58">
        <f>IFERROR('Daten Auswertung'!AA116,-999)</f>
        <v>-64.5</v>
      </c>
      <c r="E208" s="60">
        <f t="shared" si="67"/>
        <v>208.64999999999998</v>
      </c>
      <c r="F208" s="146">
        <f t="shared" si="68"/>
        <v>198</v>
      </c>
      <c r="G208" s="96" t="e">
        <f t="shared" si="69"/>
        <v>#VALUE!</v>
      </c>
      <c r="I208" s="13">
        <f t="shared" si="60"/>
        <v>30</v>
      </c>
      <c r="J208">
        <f t="shared" si="61"/>
        <v>-64.5</v>
      </c>
      <c r="K208">
        <f t="shared" si="53"/>
        <v>208.64999999999998</v>
      </c>
      <c r="O208" s="66">
        <f t="shared" si="54"/>
        <v>-6.1397810921891036</v>
      </c>
      <c r="P208" s="10">
        <f t="shared" si="55"/>
        <v>1.3169465892982183E-2</v>
      </c>
      <c r="Q208" s="145">
        <f t="shared" si="56"/>
        <v>30</v>
      </c>
      <c r="R208">
        <f t="shared" si="70"/>
        <v>2.731668415612651E-4</v>
      </c>
      <c r="S208" s="9">
        <f t="shared" si="62"/>
        <v>0.27316684156126508</v>
      </c>
      <c r="T208" s="114">
        <f t="shared" si="57"/>
        <v>2.3775959372054306E-4</v>
      </c>
      <c r="U208" s="63">
        <f t="shared" si="58"/>
        <v>9.1124883199221133E-3</v>
      </c>
      <c r="V208" s="113">
        <f t="shared" si="63"/>
        <v>9.1124883199221127</v>
      </c>
      <c r="W208" s="63">
        <f t="shared" si="64"/>
        <v>0.11661714755650887</v>
      </c>
      <c r="X208" s="67">
        <f t="shared" si="65"/>
        <v>116.61714755650887</v>
      </c>
      <c r="Y208" s="63"/>
      <c r="Z208" s="121">
        <f t="shared" si="59"/>
        <v>-64.5</v>
      </c>
      <c r="AA208" s="121">
        <f t="shared" si="66"/>
        <v>-999</v>
      </c>
      <c r="AB208" s="121">
        <f t="shared" si="71"/>
        <v>30</v>
      </c>
      <c r="AC208" s="13"/>
      <c r="AD208" s="84"/>
      <c r="AE208" s="106"/>
      <c r="AF208" s="10"/>
      <c r="AG208" s="109"/>
    </row>
    <row r="209" spans="2:33" x14ac:dyDescent="0.25">
      <c r="B209" s="57">
        <f>IFERROR('Daten Auswertung'!Y117,-999)</f>
        <v>28</v>
      </c>
      <c r="C209" s="57">
        <f>IFERROR('Daten Auswertung'!Z117,-999)</f>
        <v>24165</v>
      </c>
      <c r="D209" s="58">
        <f>IFERROR('Daten Auswertung'!AA117,-999)</f>
        <v>-62.8</v>
      </c>
      <c r="E209" s="60">
        <f t="shared" si="67"/>
        <v>210.34999999999997</v>
      </c>
      <c r="F209" s="146">
        <f t="shared" si="68"/>
        <v>425</v>
      </c>
      <c r="G209" s="96" t="e">
        <f t="shared" si="69"/>
        <v>#VALUE!</v>
      </c>
      <c r="I209" s="13">
        <f t="shared" si="60"/>
        <v>28</v>
      </c>
      <c r="J209">
        <f t="shared" si="61"/>
        <v>-62.8</v>
      </c>
      <c r="K209">
        <f t="shared" si="53"/>
        <v>210.34999999999997</v>
      </c>
      <c r="O209" s="66">
        <f t="shared" si="54"/>
        <v>-5.9296449367550332</v>
      </c>
      <c r="P209" s="10">
        <f t="shared" si="55"/>
        <v>1.6249093385201249E-2</v>
      </c>
      <c r="Q209" s="145">
        <f t="shared" si="56"/>
        <v>28</v>
      </c>
      <c r="R209">
        <f t="shared" si="70"/>
        <v>3.6117159988034698E-4</v>
      </c>
      <c r="S209" s="9">
        <f t="shared" si="62"/>
        <v>0.36117159988034697</v>
      </c>
      <c r="T209" s="114">
        <f t="shared" si="57"/>
        <v>1.9210928329441062E-4</v>
      </c>
      <c r="U209" s="63">
        <f t="shared" si="58"/>
        <v>8.9344488221980451E-3</v>
      </c>
      <c r="V209" s="113">
        <f t="shared" si="63"/>
        <v>8.9344488221980445</v>
      </c>
      <c r="W209" s="63">
        <f t="shared" si="64"/>
        <v>8.9959760559862947E-2</v>
      </c>
      <c r="X209" s="67">
        <f t="shared" si="65"/>
        <v>89.959760559862943</v>
      </c>
      <c r="Y209" s="63"/>
      <c r="Z209" s="121">
        <f t="shared" si="59"/>
        <v>-62.8</v>
      </c>
      <c r="AA209" s="121">
        <f t="shared" si="66"/>
        <v>-999</v>
      </c>
      <c r="AB209" s="121">
        <f t="shared" si="71"/>
        <v>28</v>
      </c>
      <c r="AC209" s="13"/>
      <c r="AD209" s="84"/>
      <c r="AE209" s="106"/>
      <c r="AF209" s="10"/>
      <c r="AG209" s="109"/>
    </row>
    <row r="210" spans="2:33" x14ac:dyDescent="0.25">
      <c r="B210" s="57">
        <f>IFERROR('Daten Auswertung'!Y118,-999)</f>
        <v>26.5</v>
      </c>
      <c r="C210" s="57">
        <f>IFERROR('Daten Auswertung'!Z118,-999)</f>
        <v>24504</v>
      </c>
      <c r="D210" s="58">
        <f>IFERROR('Daten Auswertung'!AA118,-999)</f>
        <v>-61.5</v>
      </c>
      <c r="E210" s="60">
        <f t="shared" si="67"/>
        <v>211.64999999999998</v>
      </c>
      <c r="F210" s="146">
        <f t="shared" si="68"/>
        <v>339</v>
      </c>
      <c r="G210" s="96" t="e">
        <f t="shared" si="69"/>
        <v>#VALUE!</v>
      </c>
      <c r="I210" s="13">
        <f t="shared" si="60"/>
        <v>26.5</v>
      </c>
      <c r="J210">
        <f t="shared" si="61"/>
        <v>-61.5</v>
      </c>
      <c r="K210">
        <f t="shared" si="53"/>
        <v>211.64999999999998</v>
      </c>
      <c r="O210" s="66">
        <f t="shared" si="54"/>
        <v>-5.7712302913756846</v>
      </c>
      <c r="P210" s="10">
        <f t="shared" si="55"/>
        <v>1.90382813663223E-2</v>
      </c>
      <c r="Q210" s="145">
        <f t="shared" si="56"/>
        <v>26.5</v>
      </c>
      <c r="R210">
        <f t="shared" si="70"/>
        <v>4.4718205991438082E-4</v>
      </c>
      <c r="S210" s="9">
        <f t="shared" si="62"/>
        <v>0.44718205991438081</v>
      </c>
      <c r="T210" s="114">
        <f t="shared" si="57"/>
        <v>-1.5062195999853013E-5</v>
      </c>
      <c r="U210" s="63">
        <f t="shared" si="58"/>
        <v>8.7705844002874504E-3</v>
      </c>
      <c r="V210" s="113">
        <f t="shared" si="63"/>
        <v>8.7705844002874507</v>
      </c>
      <c r="W210" s="63">
        <f t="shared" si="64"/>
        <v>7.3807840620178811E-2</v>
      </c>
      <c r="X210" s="67">
        <f t="shared" si="65"/>
        <v>73.807840620178808</v>
      </c>
      <c r="Y210" s="63"/>
      <c r="Z210" s="121">
        <f t="shared" si="59"/>
        <v>-61.5</v>
      </c>
      <c r="AA210" s="121">
        <f t="shared" si="66"/>
        <v>-999</v>
      </c>
      <c r="AB210" s="121">
        <f t="shared" si="71"/>
        <v>26.5</v>
      </c>
      <c r="AC210" s="13"/>
      <c r="AD210" s="84"/>
      <c r="AE210" s="106"/>
      <c r="AF210" s="10"/>
      <c r="AG210" s="109"/>
    </row>
    <row r="211" spans="2:33" x14ac:dyDescent="0.25">
      <c r="B211" s="57">
        <f>IFERROR('Daten Auswertung'!Y119,-999)</f>
        <v>26</v>
      </c>
      <c r="C211" s="57">
        <f>IFERROR('Daten Auswertung'!Z119,-999)</f>
        <v>24621</v>
      </c>
      <c r="D211" s="58">
        <f>IFERROR('Daten Auswertung'!AA119,-999)</f>
        <v>-61.6</v>
      </c>
      <c r="E211" s="60">
        <f t="shared" si="67"/>
        <v>211.54999999999998</v>
      </c>
      <c r="F211" s="146">
        <f t="shared" si="68"/>
        <v>117</v>
      </c>
      <c r="G211" s="96" t="e">
        <f t="shared" si="69"/>
        <v>#VALUE!</v>
      </c>
      <c r="I211" s="13">
        <f t="shared" si="60"/>
        <v>26</v>
      </c>
      <c r="J211">
        <f t="shared" si="61"/>
        <v>-61.6</v>
      </c>
      <c r="K211">
        <f t="shared" si="53"/>
        <v>211.54999999999998</v>
      </c>
      <c r="O211" s="66">
        <f t="shared" si="54"/>
        <v>-5.7833469107075528</v>
      </c>
      <c r="P211" s="10">
        <f t="shared" si="55"/>
        <v>1.8808993659393963E-2</v>
      </c>
      <c r="Q211" s="145">
        <f t="shared" si="56"/>
        <v>26</v>
      </c>
      <c r="R211">
        <f t="shared" si="70"/>
        <v>4.5029475566720184E-4</v>
      </c>
      <c r="S211" s="9">
        <f t="shared" si="62"/>
        <v>0.45029475566720184</v>
      </c>
      <c r="T211" s="114">
        <f t="shared" si="57"/>
        <v>-6.2659091838875722E-5</v>
      </c>
      <c r="U211" s="63">
        <f t="shared" si="58"/>
        <v>8.7635233358873601E-3</v>
      </c>
      <c r="V211" s="113">
        <f t="shared" si="63"/>
        <v>8.7635233358873599</v>
      </c>
      <c r="W211" s="63">
        <f t="shared" si="64"/>
        <v>7.3238237163922609E-2</v>
      </c>
      <c r="X211" s="67">
        <f t="shared" si="65"/>
        <v>73.238237163922605</v>
      </c>
      <c r="Y211" s="63"/>
      <c r="Z211" s="121">
        <f t="shared" si="59"/>
        <v>-61.6</v>
      </c>
      <c r="AA211" s="121">
        <f t="shared" si="66"/>
        <v>-999</v>
      </c>
      <c r="AB211" s="121">
        <f t="shared" si="71"/>
        <v>26</v>
      </c>
      <c r="AC211" s="13"/>
      <c r="AD211" s="84"/>
      <c r="AE211" s="106"/>
      <c r="AF211" s="10"/>
      <c r="AG211" s="109"/>
    </row>
    <row r="212" spans="2:33" x14ac:dyDescent="0.25">
      <c r="B212" s="57">
        <f>IFERROR('Daten Auswertung'!Y120,-999)</f>
        <v>25</v>
      </c>
      <c r="C212" s="57">
        <f>IFERROR('Daten Auswertung'!Z120,-999)</f>
        <v>24863</v>
      </c>
      <c r="D212" s="58">
        <f>IFERROR('Daten Auswertung'!AA120,-999)</f>
        <v>-62</v>
      </c>
      <c r="E212" s="60">
        <f t="shared" si="67"/>
        <v>211.14999999999998</v>
      </c>
      <c r="F212" s="146">
        <f t="shared" si="68"/>
        <v>242</v>
      </c>
      <c r="G212" s="96" t="e">
        <f t="shared" si="69"/>
        <v>#VALUE!</v>
      </c>
      <c r="I212" s="13">
        <f t="shared" si="60"/>
        <v>25</v>
      </c>
      <c r="J212">
        <f t="shared" si="61"/>
        <v>-62</v>
      </c>
      <c r="K212">
        <f t="shared" si="53"/>
        <v>211.14999999999998</v>
      </c>
      <c r="O212" s="66">
        <f t="shared" si="54"/>
        <v>-5.8319281559188338</v>
      </c>
      <c r="P212" s="10">
        <f t="shared" si="55"/>
        <v>1.7917070119315141E-2</v>
      </c>
      <c r="Q212" s="145">
        <f t="shared" si="56"/>
        <v>25</v>
      </c>
      <c r="R212">
        <f t="shared" si="70"/>
        <v>4.4609641419788703E-4</v>
      </c>
      <c r="S212" s="9">
        <f t="shared" si="62"/>
        <v>0.44609641419788704</v>
      </c>
      <c r="T212" s="114">
        <f t="shared" si="57"/>
        <v>-1.0216211763591933E-4</v>
      </c>
      <c r="U212" s="63">
        <f t="shared" si="58"/>
        <v>8.7681751775174864E-3</v>
      </c>
      <c r="V212" s="113">
        <f t="shared" si="63"/>
        <v>8.7681751775174863</v>
      </c>
      <c r="W212" s="63">
        <f t="shared" si="64"/>
        <v>7.3638214697844553E-2</v>
      </c>
      <c r="X212" s="67">
        <f t="shared" si="65"/>
        <v>73.63821469784456</v>
      </c>
      <c r="Y212" s="63"/>
      <c r="Z212" s="121">
        <f t="shared" si="59"/>
        <v>-62</v>
      </c>
      <c r="AA212" s="121">
        <f t="shared" si="66"/>
        <v>-999</v>
      </c>
      <c r="AB212" s="121">
        <f t="shared" si="71"/>
        <v>25</v>
      </c>
      <c r="AC212" s="13"/>
      <c r="AD212" s="84"/>
      <c r="AE212" s="106"/>
      <c r="AF212" s="10"/>
      <c r="AG212" s="109"/>
    </row>
    <row r="213" spans="2:33" x14ac:dyDescent="0.25">
      <c r="B213" s="57">
        <f>IFERROR('Daten Auswertung'!Y121,-999)</f>
        <v>23</v>
      </c>
      <c r="C213" s="57">
        <f>IFERROR('Daten Auswertung'!Z121,-999)</f>
        <v>25378</v>
      </c>
      <c r="D213" s="58">
        <f>IFERROR('Daten Auswertung'!AA121,-999)</f>
        <v>-62.6</v>
      </c>
      <c r="E213" s="60">
        <f t="shared" si="67"/>
        <v>210.54999999999998</v>
      </c>
      <c r="F213" s="146">
        <f t="shared" si="68"/>
        <v>515</v>
      </c>
      <c r="G213" s="96" t="e">
        <f t="shared" si="69"/>
        <v>#VALUE!</v>
      </c>
      <c r="I213" s="13">
        <f t="shared" si="60"/>
        <v>23</v>
      </c>
      <c r="J213">
        <f t="shared" si="61"/>
        <v>-62.6</v>
      </c>
      <c r="K213">
        <f t="shared" si="53"/>
        <v>210.54999999999998</v>
      </c>
      <c r="O213" s="66">
        <f t="shared" si="54"/>
        <v>-5.9051461261713643</v>
      </c>
      <c r="P213" s="10">
        <f t="shared" si="55"/>
        <v>1.6652093198004835E-2</v>
      </c>
      <c r="Q213" s="145">
        <f t="shared" si="56"/>
        <v>23</v>
      </c>
      <c r="R213">
        <f t="shared" si="70"/>
        <v>4.5065679774588635E-4</v>
      </c>
      <c r="S213" s="9">
        <f t="shared" si="62"/>
        <v>0.45065679774588635</v>
      </c>
      <c r="T213" s="114">
        <f t="shared" si="57"/>
        <v>-7.1203751852195427E-5</v>
      </c>
      <c r="U213" s="63">
        <f t="shared" si="58"/>
        <v>8.7535869342108864E-3</v>
      </c>
      <c r="V213" s="113">
        <f t="shared" si="63"/>
        <v>8.7535869342108867</v>
      </c>
      <c r="W213" s="63">
        <f t="shared" si="64"/>
        <v>7.2496531230294481E-2</v>
      </c>
      <c r="X213" s="67">
        <f t="shared" si="65"/>
        <v>72.49653123029448</v>
      </c>
      <c r="Y213" s="63"/>
      <c r="Z213" s="121">
        <f t="shared" si="59"/>
        <v>-62.6</v>
      </c>
      <c r="AA213" s="121">
        <f t="shared" si="66"/>
        <v>-999</v>
      </c>
      <c r="AB213" s="121">
        <f t="shared" si="71"/>
        <v>23</v>
      </c>
      <c r="AC213" s="13"/>
      <c r="AD213" s="84"/>
      <c r="AE213" s="106"/>
      <c r="AF213" s="10"/>
      <c r="AG213" s="109"/>
    </row>
    <row r="214" spans="2:33" x14ac:dyDescent="0.25">
      <c r="B214" s="57">
        <f>IFERROR('Daten Auswertung'!Y122,-999)</f>
        <v>22</v>
      </c>
      <c r="C214" s="57">
        <f>IFERROR('Daten Auswertung'!Z122,-999)</f>
        <v>25652</v>
      </c>
      <c r="D214" s="58">
        <f>IFERROR('Daten Auswertung'!AA122,-999)</f>
        <v>-63</v>
      </c>
      <c r="E214" s="60">
        <f t="shared" si="67"/>
        <v>210.14999999999998</v>
      </c>
      <c r="F214" s="146">
        <f t="shared" si="68"/>
        <v>274</v>
      </c>
      <c r="G214" s="96" t="e">
        <f t="shared" si="69"/>
        <v>#VALUE!</v>
      </c>
      <c r="I214" s="13">
        <f t="shared" si="60"/>
        <v>22</v>
      </c>
      <c r="J214">
        <f t="shared" si="61"/>
        <v>-63</v>
      </c>
      <c r="K214">
        <f t="shared" si="53"/>
        <v>210.14999999999998</v>
      </c>
      <c r="O214" s="66">
        <f t="shared" si="54"/>
        <v>-5.9541903784318837</v>
      </c>
      <c r="P214" s="10">
        <f t="shared" si="55"/>
        <v>1.5855107273275847E-2</v>
      </c>
      <c r="Q214" s="145">
        <f t="shared" si="56"/>
        <v>22</v>
      </c>
      <c r="R214">
        <f t="shared" si="70"/>
        <v>4.4859041696183042E-4</v>
      </c>
      <c r="S214" s="9">
        <f t="shared" si="62"/>
        <v>0.44859041696183044</v>
      </c>
      <c r="T214" s="114">
        <f t="shared" si="57"/>
        <v>-1.3706841391717713E-4</v>
      </c>
      <c r="U214" s="63">
        <f t="shared" si="58"/>
        <v>8.7539931538219862E-3</v>
      </c>
      <c r="V214" s="113">
        <f t="shared" si="63"/>
        <v>8.7539931538219857</v>
      </c>
      <c r="W214" s="63">
        <f t="shared" si="64"/>
        <v>7.2550442015977545E-2</v>
      </c>
      <c r="X214" s="67">
        <f t="shared" si="65"/>
        <v>72.550442015977552</v>
      </c>
      <c r="Y214" s="63"/>
      <c r="Z214" s="121">
        <f t="shared" si="59"/>
        <v>-63</v>
      </c>
      <c r="AA214" s="121">
        <f t="shared" si="66"/>
        <v>-999</v>
      </c>
      <c r="AB214" s="121">
        <f t="shared" si="71"/>
        <v>22</v>
      </c>
      <c r="AC214" s="13"/>
      <c r="AD214" s="84"/>
      <c r="AE214" s="106"/>
      <c r="AF214" s="10"/>
      <c r="AG214" s="109"/>
    </row>
    <row r="215" spans="2:33" x14ac:dyDescent="0.25">
      <c r="B215" s="57">
        <f>IFERROR('Daten Auswertung'!Y123,-999)</f>
        <v>20</v>
      </c>
      <c r="C215" s="57">
        <f>IFERROR('Daten Auswertung'!Z123,-999)</f>
        <v>26240</v>
      </c>
      <c r="D215" s="58">
        <f>IFERROR('Daten Auswertung'!AA123,-999)</f>
        <v>-63.7</v>
      </c>
      <c r="E215" s="60">
        <f t="shared" si="67"/>
        <v>209.45</v>
      </c>
      <c r="F215" s="146">
        <f t="shared" si="68"/>
        <v>588</v>
      </c>
      <c r="G215" s="96" t="e">
        <f t="shared" si="69"/>
        <v>#VALUE!</v>
      </c>
      <c r="I215" s="13">
        <f t="shared" si="60"/>
        <v>20</v>
      </c>
      <c r="J215">
        <f t="shared" si="61"/>
        <v>-63.7</v>
      </c>
      <c r="K215">
        <f t="shared" si="53"/>
        <v>209.45</v>
      </c>
      <c r="O215" s="66">
        <f t="shared" si="54"/>
        <v>-6.0404685727433671</v>
      </c>
      <c r="P215" s="10">
        <f t="shared" si="55"/>
        <v>1.4544508207048288E-2</v>
      </c>
      <c r="Q215" s="145">
        <f t="shared" si="56"/>
        <v>20</v>
      </c>
      <c r="R215">
        <f t="shared" si="70"/>
        <v>4.5266339356133593E-4</v>
      </c>
      <c r="S215" s="9">
        <f t="shared" si="62"/>
        <v>0.45266339356133595</v>
      </c>
      <c r="T215" s="114">
        <f t="shared" si="57"/>
        <v>-2.6795725753990394E-4</v>
      </c>
      <c r="U215" s="63">
        <f t="shared" si="58"/>
        <v>8.7392852850150873E-3</v>
      </c>
      <c r="V215" s="113">
        <f t="shared" si="63"/>
        <v>8.7392852850150877</v>
      </c>
      <c r="W215" s="63">
        <f t="shared" si="64"/>
        <v>7.1435710112502743E-2</v>
      </c>
      <c r="X215" s="67">
        <f t="shared" si="65"/>
        <v>71.435710112502747</v>
      </c>
      <c r="Y215" s="63"/>
      <c r="Z215" s="121">
        <f t="shared" si="59"/>
        <v>-63.7</v>
      </c>
      <c r="AA215" s="121">
        <f t="shared" si="66"/>
        <v>-999</v>
      </c>
      <c r="AB215" s="121">
        <f t="shared" si="71"/>
        <v>20</v>
      </c>
      <c r="AG215" s="10"/>
    </row>
    <row r="216" spans="2:33" x14ac:dyDescent="0.25">
      <c r="B216" s="57">
        <f>IFERROR('Daten Auswertung'!Y124,-999)</f>
        <v>19</v>
      </c>
      <c r="C216" s="57">
        <f>IFERROR('Daten Auswertung'!Z124,-999)</f>
        <v>26553</v>
      </c>
      <c r="D216" s="58">
        <f>IFERROR('Daten Auswertung'!AA124,-999)</f>
        <v>-65</v>
      </c>
      <c r="E216" s="60">
        <f t="shared" si="67"/>
        <v>208.14999999999998</v>
      </c>
      <c r="F216" s="146">
        <f t="shared" si="68"/>
        <v>313</v>
      </c>
      <c r="G216" s="96" t="e">
        <f t="shared" si="69"/>
        <v>#VALUE!</v>
      </c>
      <c r="I216" s="13">
        <f t="shared" si="60"/>
        <v>19</v>
      </c>
      <c r="J216">
        <f t="shared" si="61"/>
        <v>-65</v>
      </c>
      <c r="K216">
        <f t="shared" ref="K216:K247" si="72">IF(J216="","",E216)</f>
        <v>208.14999999999998</v>
      </c>
      <c r="O216" s="66">
        <f t="shared" ref="O216:O251" si="73">$H$8/$H$9*(1/273.15-1/E216)</f>
        <v>-6.202239076809299</v>
      </c>
      <c r="P216" s="10">
        <f t="shared" ref="P216:P247" si="74">$H$10^O216*6.11</f>
        <v>1.2372088097221135E-2</v>
      </c>
      <c r="Q216" s="145">
        <f t="shared" ref="Q216:Q251" si="75">B216</f>
        <v>19</v>
      </c>
      <c r="R216">
        <f t="shared" si="70"/>
        <v>4.0528700226148342E-4</v>
      </c>
      <c r="S216" s="9">
        <f t="shared" si="62"/>
        <v>0.4052870022614834</v>
      </c>
      <c r="T216" s="114">
        <f t="shared" ref="T216:T250" si="76">$H$17/(1+$H$22/$H$20*((R216-Q217)/(E216-E217)))</f>
        <v>-1.0527486920656567E-4</v>
      </c>
      <c r="U216" s="63">
        <f t="shared" ref="U216:U251" si="77">IF(J216="","",$H$19*((1+($H$22*R216)/($H$23*K216)))/(($H$20+($H$22^2*R216*$H$24)/($H$23*K216^2))))</f>
        <v>8.8241549564970646E-3</v>
      </c>
      <c r="V216" s="113">
        <f t="shared" si="63"/>
        <v>8.8241549564970647</v>
      </c>
      <c r="W216" s="63">
        <f t="shared" si="64"/>
        <v>7.8654596130625323E-2</v>
      </c>
      <c r="X216" s="67">
        <f t="shared" si="65"/>
        <v>78.654596130625322</v>
      </c>
      <c r="Y216" s="63"/>
      <c r="Z216" s="121">
        <f t="shared" ref="Z216:Z251" si="78">D216</f>
        <v>-65</v>
      </c>
      <c r="AA216" s="121">
        <f t="shared" si="66"/>
        <v>-999</v>
      </c>
      <c r="AB216" s="121">
        <f t="shared" si="71"/>
        <v>19</v>
      </c>
      <c r="AG216" s="10"/>
    </row>
    <row r="217" spans="2:33" x14ac:dyDescent="0.25">
      <c r="B217" s="57">
        <f>IFERROR('Daten Auswertung'!Y125,-999)</f>
        <v>18.600000000000001</v>
      </c>
      <c r="C217" s="57">
        <f>IFERROR('Daten Auswertung'!Z125,-999)</f>
        <v>26682</v>
      </c>
      <c r="D217" s="58">
        <f>IFERROR('Daten Auswertung'!AA125,-999)</f>
        <v>-65.5</v>
      </c>
      <c r="E217" s="60">
        <f t="shared" si="67"/>
        <v>207.64999999999998</v>
      </c>
      <c r="F217" s="146">
        <f t="shared" si="68"/>
        <v>129</v>
      </c>
      <c r="G217" s="96" t="e">
        <f t="shared" si="69"/>
        <v>#VALUE!</v>
      </c>
      <c r="I217" s="13">
        <f t="shared" si="60"/>
        <v>18.600000000000001</v>
      </c>
      <c r="J217">
        <f t="shared" si="61"/>
        <v>-65.5</v>
      </c>
      <c r="K217">
        <f t="shared" si="72"/>
        <v>207.64999999999998</v>
      </c>
      <c r="O217" s="66">
        <f t="shared" si="73"/>
        <v>-6.2649978463301466</v>
      </c>
      <c r="P217" s="10">
        <f t="shared" si="74"/>
        <v>1.1619494012862412E-2</v>
      </c>
      <c r="Q217" s="145">
        <f t="shared" si="75"/>
        <v>18.600000000000001</v>
      </c>
      <c r="R217">
        <f t="shared" si="70"/>
        <v>3.8880876543669675E-4</v>
      </c>
      <c r="S217" s="9">
        <f t="shared" si="62"/>
        <v>0.38880876543669673</v>
      </c>
      <c r="T217" s="114">
        <f t="shared" si="76"/>
        <v>3.1150469988271552E-4</v>
      </c>
      <c r="U217" s="63">
        <f t="shared" si="77"/>
        <v>8.8543022169309885E-3</v>
      </c>
      <c r="V217" s="113">
        <f t="shared" si="63"/>
        <v>8.8543022169309893</v>
      </c>
      <c r="W217" s="63">
        <f t="shared" ref="W217:W251" si="79">$H$19*(($H$23*E217^2+$H$22*R217*E217)/(F$20*$H$23*E217^2+$H$22^2*R217*$H$24))</f>
        <v>8.1542461370843158E-2</v>
      </c>
      <c r="X217" s="67">
        <f t="shared" si="65"/>
        <v>81.542461370843156</v>
      </c>
      <c r="Y217" s="63"/>
      <c r="Z217" s="121">
        <f t="shared" si="78"/>
        <v>-65.5</v>
      </c>
      <c r="AA217" s="121">
        <f t="shared" ref="AA217:AA251" si="80">IFERROR(G217,-999)</f>
        <v>-999</v>
      </c>
      <c r="AB217" s="121">
        <f t="shared" si="71"/>
        <v>18.600000000000001</v>
      </c>
    </row>
    <row r="218" spans="2:33" x14ac:dyDescent="0.25">
      <c r="B218" s="57">
        <f>IFERROR('Daten Auswertung'!Y126,-999)</f>
        <v>17.600000000000001</v>
      </c>
      <c r="C218" s="57">
        <f>IFERROR('Daten Auswertung'!Z126,-999)</f>
        <v>27019</v>
      </c>
      <c r="D218" s="58">
        <f>IFERROR('Daten Auswertung'!AA126,-999)</f>
        <v>-64.099999999999994</v>
      </c>
      <c r="E218" s="60">
        <f t="shared" si="67"/>
        <v>209.04999999999998</v>
      </c>
      <c r="F218" s="146">
        <f t="shared" si="68"/>
        <v>337</v>
      </c>
      <c r="G218" s="96" t="e">
        <f t="shared" ref="G218:G251" si="81">G217-U217*F217</f>
        <v>#VALUE!</v>
      </c>
      <c r="I218" s="13">
        <f t="shared" si="60"/>
        <v>17.600000000000001</v>
      </c>
      <c r="J218">
        <f t="shared" si="61"/>
        <v>-64.099999999999994</v>
      </c>
      <c r="K218">
        <f t="shared" si="72"/>
        <v>209.04999999999998</v>
      </c>
      <c r="O218" s="66">
        <f t="shared" si="73"/>
        <v>-6.0900298192928846</v>
      </c>
      <c r="P218" s="10">
        <f t="shared" si="74"/>
        <v>1.3841235729330648E-2</v>
      </c>
      <c r="Q218" s="145">
        <f t="shared" si="75"/>
        <v>17.600000000000001</v>
      </c>
      <c r="R218">
        <f t="shared" si="70"/>
        <v>4.8954684982913056E-4</v>
      </c>
      <c r="S218" s="9">
        <f t="shared" si="62"/>
        <v>0.48954684982913055</v>
      </c>
      <c r="T218" s="114">
        <f t="shared" si="76"/>
        <v>6.4498025308371986E-4</v>
      </c>
      <c r="U218" s="63">
        <f t="shared" si="77"/>
        <v>8.6620476700571252E-3</v>
      </c>
      <c r="V218" s="113">
        <f t="shared" si="63"/>
        <v>8.6620476700571256</v>
      </c>
      <c r="W218" s="63">
        <f t="shared" si="79"/>
        <v>6.5903172365984572E-2</v>
      </c>
      <c r="X218" s="67">
        <f t="shared" si="65"/>
        <v>65.903172365984574</v>
      </c>
      <c r="Y218" s="63"/>
      <c r="Z218" s="121">
        <f t="shared" si="78"/>
        <v>-64.099999999999994</v>
      </c>
      <c r="AA218" s="121">
        <f t="shared" si="80"/>
        <v>-999</v>
      </c>
      <c r="AB218" s="121">
        <f t="shared" si="71"/>
        <v>17.600000000000001</v>
      </c>
    </row>
    <row r="219" spans="2:33" x14ac:dyDescent="0.25">
      <c r="B219" s="57">
        <f>IFERROR('Daten Auswertung'!Y127,-999)</f>
        <v>17</v>
      </c>
      <c r="C219" s="57">
        <f>IFERROR('Daten Auswertung'!Z127,-999)</f>
        <v>27236</v>
      </c>
      <c r="D219" s="58">
        <f>IFERROR('Daten Auswertung'!AA127,-999)</f>
        <v>-61.3</v>
      </c>
      <c r="E219" s="60">
        <f t="shared" si="67"/>
        <v>211.84999999999997</v>
      </c>
      <c r="F219" s="146">
        <f t="shared" si="68"/>
        <v>217</v>
      </c>
      <c r="G219" s="96" t="e">
        <f t="shared" si="81"/>
        <v>#VALUE!</v>
      </c>
      <c r="I219" s="13">
        <f t="shared" si="60"/>
        <v>17</v>
      </c>
      <c r="J219">
        <f t="shared" si="61"/>
        <v>-61.3</v>
      </c>
      <c r="K219">
        <f t="shared" si="72"/>
        <v>211.84999999999997</v>
      </c>
      <c r="O219" s="66">
        <f t="shared" si="73"/>
        <v>-5.7470313693114186</v>
      </c>
      <c r="P219" s="10">
        <f t="shared" si="74"/>
        <v>1.9504606783562271E-2</v>
      </c>
      <c r="Q219" s="145">
        <f t="shared" si="75"/>
        <v>17</v>
      </c>
      <c r="R219">
        <f t="shared" si="70"/>
        <v>7.1445886226748773E-4</v>
      </c>
      <c r="S219" s="9">
        <f t="shared" si="62"/>
        <v>0.71445886226748767</v>
      </c>
      <c r="T219" s="114">
        <f t="shared" si="76"/>
        <v>1.1992110686605383E-3</v>
      </c>
      <c r="U219" s="63">
        <f t="shared" si="77"/>
        <v>8.2800076310704917E-3</v>
      </c>
      <c r="V219" s="113">
        <f t="shared" si="63"/>
        <v>8.2800076310704913</v>
      </c>
      <c r="W219" s="63">
        <f t="shared" si="79"/>
        <v>4.6782775541733136E-2</v>
      </c>
      <c r="X219" s="67">
        <f t="shared" si="65"/>
        <v>46.782775541733137</v>
      </c>
      <c r="Y219" s="63"/>
      <c r="Z219" s="121">
        <f t="shared" si="78"/>
        <v>-61.3</v>
      </c>
      <c r="AA219" s="121">
        <f t="shared" si="80"/>
        <v>-999</v>
      </c>
      <c r="AB219" s="121">
        <f t="shared" si="71"/>
        <v>17</v>
      </c>
    </row>
    <row r="220" spans="2:33" x14ac:dyDescent="0.25">
      <c r="B220" s="57">
        <f>IFERROR('Daten Auswertung'!Y128,-999)</f>
        <v>16</v>
      </c>
      <c r="C220" s="57">
        <f>IFERROR('Daten Auswertung'!Z128,-999)</f>
        <v>27615</v>
      </c>
      <c r="D220" s="58">
        <f>IFERROR('Daten Auswertung'!AA128,-999)</f>
        <v>-56.4</v>
      </c>
      <c r="E220" s="60">
        <f t="shared" si="67"/>
        <v>216.74999999999997</v>
      </c>
      <c r="F220" s="146">
        <f t="shared" si="68"/>
        <v>379</v>
      </c>
      <c r="G220" s="96" t="e">
        <f t="shared" si="81"/>
        <v>#VALUE!</v>
      </c>
      <c r="I220" s="13">
        <f t="shared" si="60"/>
        <v>16</v>
      </c>
      <c r="J220">
        <f t="shared" si="61"/>
        <v>-56.4</v>
      </c>
      <c r="K220">
        <f t="shared" si="72"/>
        <v>216.74999999999997</v>
      </c>
      <c r="O220" s="66">
        <f t="shared" si="73"/>
        <v>-5.1681077455739581</v>
      </c>
      <c r="P220" s="10">
        <f t="shared" si="74"/>
        <v>3.4798500845630354E-2</v>
      </c>
      <c r="Q220" s="145">
        <f t="shared" si="75"/>
        <v>16</v>
      </c>
      <c r="R220">
        <f t="shared" si="70"/>
        <v>1.3557403285594945E-3</v>
      </c>
      <c r="S220" s="9">
        <f t="shared" si="62"/>
        <v>1.3557403285594944</v>
      </c>
      <c r="T220" s="114">
        <f t="shared" si="76"/>
        <v>5.2718432025796315E-4</v>
      </c>
      <c r="U220" s="63">
        <f t="shared" si="77"/>
        <v>7.4153655078762551E-3</v>
      </c>
      <c r="V220" s="113">
        <f t="shared" si="63"/>
        <v>7.4153655078762553</v>
      </c>
      <c r="W220" s="63">
        <f t="shared" si="79"/>
        <v>2.6437347458061894E-2</v>
      </c>
      <c r="X220" s="67">
        <f t="shared" si="65"/>
        <v>26.437347458061893</v>
      </c>
      <c r="Y220" s="63"/>
      <c r="Z220" s="121">
        <f t="shared" si="78"/>
        <v>-56.4</v>
      </c>
      <c r="AA220" s="121">
        <f t="shared" si="80"/>
        <v>-999</v>
      </c>
      <c r="AB220" s="121">
        <f t="shared" si="71"/>
        <v>16</v>
      </c>
    </row>
    <row r="221" spans="2:33" x14ac:dyDescent="0.25">
      <c r="B221" s="57">
        <f>IFERROR('Daten Auswertung'!Y129,-999)</f>
        <v>15.6</v>
      </c>
      <c r="C221" s="57">
        <f>IFERROR('Daten Auswertung'!Z129,-999)</f>
        <v>27773</v>
      </c>
      <c r="D221" s="58">
        <f>IFERROR('Daten Auswertung'!AA129,-999)</f>
        <v>-54.3</v>
      </c>
      <c r="E221" s="60">
        <f t="shared" si="67"/>
        <v>218.84999999999997</v>
      </c>
      <c r="F221" s="146">
        <f t="shared" si="68"/>
        <v>158</v>
      </c>
      <c r="G221" s="96" t="e">
        <f t="shared" si="81"/>
        <v>#VALUE!</v>
      </c>
      <c r="I221" s="13">
        <f t="shared" si="60"/>
        <v>15.6</v>
      </c>
      <c r="J221">
        <f t="shared" si="61"/>
        <v>-54.3</v>
      </c>
      <c r="K221">
        <f t="shared" si="72"/>
        <v>218.84999999999997</v>
      </c>
      <c r="O221" s="66">
        <f t="shared" si="73"/>
        <v>-4.9279335172594925</v>
      </c>
      <c r="P221" s="10">
        <f t="shared" si="74"/>
        <v>4.4245272740023225E-2</v>
      </c>
      <c r="Q221" s="145">
        <f t="shared" si="75"/>
        <v>15.6</v>
      </c>
      <c r="R221">
        <f t="shared" si="70"/>
        <v>1.7691561821855735E-3</v>
      </c>
      <c r="S221" s="9">
        <f t="shared" si="62"/>
        <v>1.7691561821855735</v>
      </c>
      <c r="T221" s="114">
        <f t="shared" si="76"/>
        <v>-2.0888764365508227E-4</v>
      </c>
      <c r="U221" s="63">
        <f t="shared" si="77"/>
        <v>6.9792887096245433E-3</v>
      </c>
      <c r="V221" s="113">
        <f t="shared" si="63"/>
        <v>6.9792887096245435</v>
      </c>
      <c r="W221" s="63">
        <f t="shared" si="79"/>
        <v>2.0966128388903885E-2</v>
      </c>
      <c r="X221" s="67">
        <f t="shared" si="65"/>
        <v>20.966128388903886</v>
      </c>
      <c r="Y221" s="63"/>
      <c r="Z221" s="121">
        <f t="shared" si="78"/>
        <v>-54.3</v>
      </c>
      <c r="AA221" s="121">
        <f t="shared" si="80"/>
        <v>-999</v>
      </c>
      <c r="AB221" s="121">
        <f t="shared" si="71"/>
        <v>15.6</v>
      </c>
    </row>
    <row r="222" spans="2:33" x14ac:dyDescent="0.25">
      <c r="B222" s="57">
        <f>IFERROR('Daten Auswertung'!Y130,-999)</f>
        <v>15</v>
      </c>
      <c r="C222" s="57">
        <f>IFERROR('Daten Auswertung'!Z130,-999)</f>
        <v>28023</v>
      </c>
      <c r="D222" s="58">
        <f>IFERROR('Daten Auswertung'!AA130,-999)</f>
        <v>-55.1</v>
      </c>
      <c r="E222" s="60">
        <f t="shared" si="67"/>
        <v>218.04999999999998</v>
      </c>
      <c r="F222" s="146">
        <f t="shared" si="68"/>
        <v>250</v>
      </c>
      <c r="G222" s="96" t="e">
        <f t="shared" si="81"/>
        <v>#VALUE!</v>
      </c>
      <c r="I222" s="13">
        <f t="shared" si="60"/>
        <v>15</v>
      </c>
      <c r="J222">
        <f t="shared" si="61"/>
        <v>-55.1</v>
      </c>
      <c r="K222">
        <f t="shared" si="72"/>
        <v>218.04999999999998</v>
      </c>
      <c r="O222" s="66">
        <f t="shared" si="73"/>
        <v>-5.0188829744388777</v>
      </c>
      <c r="P222" s="10">
        <f t="shared" si="74"/>
        <v>4.0398759450941527E-2</v>
      </c>
      <c r="Q222" s="145">
        <f t="shared" si="75"/>
        <v>15</v>
      </c>
      <c r="R222">
        <f t="shared" si="70"/>
        <v>1.6797258145072962E-3</v>
      </c>
      <c r="S222" s="9">
        <f t="shared" si="62"/>
        <v>1.6797258145072962</v>
      </c>
      <c r="T222" s="114">
        <f t="shared" si="76"/>
        <v>-3.6369481744203541E-4</v>
      </c>
      <c r="U222" s="63">
        <f t="shared" si="77"/>
        <v>7.0600688330314972E-3</v>
      </c>
      <c r="V222" s="113">
        <f t="shared" si="63"/>
        <v>7.0600688330314973</v>
      </c>
      <c r="W222" s="63">
        <f t="shared" si="79"/>
        <v>2.1853340270837782E-2</v>
      </c>
      <c r="X222" s="67">
        <f t="shared" si="65"/>
        <v>21.85334027083778</v>
      </c>
      <c r="Y222" s="63"/>
      <c r="Z222" s="121">
        <f t="shared" si="78"/>
        <v>-55.1</v>
      </c>
      <c r="AA222" s="121">
        <f t="shared" si="80"/>
        <v>-999</v>
      </c>
      <c r="AB222" s="121">
        <f t="shared" si="71"/>
        <v>15</v>
      </c>
    </row>
    <row r="223" spans="2:33" x14ac:dyDescent="0.25">
      <c r="B223" s="57">
        <f>IFERROR('Daten Auswertung'!Y131,-999)</f>
        <v>14</v>
      </c>
      <c r="C223" s="57">
        <f>IFERROR('Daten Auswertung'!Z131,-999)</f>
        <v>28461</v>
      </c>
      <c r="D223" s="58">
        <f>IFERROR('Daten Auswertung'!AA131,-999)</f>
        <v>-56.4</v>
      </c>
      <c r="E223" s="60">
        <f t="shared" si="67"/>
        <v>216.74999999999997</v>
      </c>
      <c r="F223" s="146">
        <f t="shared" si="68"/>
        <v>438</v>
      </c>
      <c r="G223" s="96" t="e">
        <f t="shared" si="81"/>
        <v>#VALUE!</v>
      </c>
      <c r="I223" s="13">
        <f t="shared" si="60"/>
        <v>14</v>
      </c>
      <c r="J223">
        <f t="shared" si="61"/>
        <v>-56.4</v>
      </c>
      <c r="K223">
        <f t="shared" si="72"/>
        <v>216.74999999999997</v>
      </c>
      <c r="O223" s="66">
        <f t="shared" si="73"/>
        <v>-5.1681077455739581</v>
      </c>
      <c r="P223" s="10">
        <f t="shared" si="74"/>
        <v>3.4798500845630354E-2</v>
      </c>
      <c r="Q223" s="145">
        <f t="shared" si="75"/>
        <v>14</v>
      </c>
      <c r="R223">
        <f t="shared" si="70"/>
        <v>1.5499001233381933E-3</v>
      </c>
      <c r="S223" s="9">
        <f t="shared" si="62"/>
        <v>1.5499001233381933</v>
      </c>
      <c r="T223" s="114">
        <f t="shared" si="76"/>
        <v>-2.630589936372327E-4</v>
      </c>
      <c r="U223" s="63">
        <f t="shared" si="77"/>
        <v>7.1817695050373151E-3</v>
      </c>
      <c r="V223" s="113">
        <f t="shared" si="63"/>
        <v>7.1817695050373151</v>
      </c>
      <c r="W223" s="63">
        <f t="shared" si="79"/>
        <v>2.3296664034682158E-2</v>
      </c>
      <c r="X223" s="67">
        <f t="shared" si="65"/>
        <v>23.296664034682159</v>
      </c>
      <c r="Y223" s="63"/>
      <c r="Z223" s="121">
        <f t="shared" si="78"/>
        <v>-56.4</v>
      </c>
      <c r="AA223" s="121">
        <f t="shared" si="80"/>
        <v>-999</v>
      </c>
      <c r="AB223" s="121">
        <f t="shared" si="71"/>
        <v>14</v>
      </c>
    </row>
    <row r="224" spans="2:33" x14ac:dyDescent="0.25">
      <c r="B224" s="57">
        <f>IFERROR('Daten Auswertung'!Y132,-999)</f>
        <v>13.4</v>
      </c>
      <c r="C224" s="57">
        <f>IFERROR('Daten Auswertung'!Z132,-999)</f>
        <v>28739</v>
      </c>
      <c r="D224" s="58">
        <f>IFERROR('Daten Auswertung'!AA132,-999)</f>
        <v>-57.3</v>
      </c>
      <c r="E224" s="60">
        <f t="shared" si="67"/>
        <v>215.84999999999997</v>
      </c>
      <c r="F224" s="146">
        <f t="shared" si="68"/>
        <v>278</v>
      </c>
      <c r="G224" s="96" t="e">
        <f t="shared" si="81"/>
        <v>#VALUE!</v>
      </c>
      <c r="I224" s="13">
        <f t="shared" si="60"/>
        <v>13.4</v>
      </c>
      <c r="J224">
        <f t="shared" si="61"/>
        <v>-57.3</v>
      </c>
      <c r="K224">
        <f t="shared" si="72"/>
        <v>215.84999999999997</v>
      </c>
      <c r="O224" s="66">
        <f t="shared" si="73"/>
        <v>-5.2724701596841905</v>
      </c>
      <c r="P224" s="10">
        <f t="shared" si="74"/>
        <v>3.1349925560047835E-2</v>
      </c>
      <c r="Q224" s="145">
        <f t="shared" si="75"/>
        <v>13.4</v>
      </c>
      <c r="R224">
        <f t="shared" si="70"/>
        <v>1.4586105246057646E-3</v>
      </c>
      <c r="S224" s="9">
        <f t="shared" si="62"/>
        <v>1.4586105246057646</v>
      </c>
      <c r="T224" s="114" t="e">
        <f t="shared" si="76"/>
        <v>#VALUE!</v>
      </c>
      <c r="U224" s="63">
        <f t="shared" si="77"/>
        <v>7.273037333706954E-3</v>
      </c>
      <c r="V224" s="113">
        <f t="shared" si="63"/>
        <v>7.273037333706954</v>
      </c>
      <c r="W224" s="63">
        <f t="shared" si="79"/>
        <v>2.4470409321890495E-2</v>
      </c>
      <c r="X224" s="67">
        <f t="shared" si="65"/>
        <v>24.470409321890497</v>
      </c>
      <c r="Y224" s="63"/>
      <c r="Z224" s="121">
        <f t="shared" si="78"/>
        <v>-57.3</v>
      </c>
      <c r="AA224" s="121">
        <f t="shared" si="80"/>
        <v>-999</v>
      </c>
      <c r="AB224" s="121">
        <f t="shared" si="71"/>
        <v>13.4</v>
      </c>
    </row>
    <row r="225" spans="2:28" x14ac:dyDescent="0.25">
      <c r="B225" s="57">
        <f>IFERROR('Daten Auswertung'!Y133,-999)</f>
        <v>-999</v>
      </c>
      <c r="C225" s="57">
        <f>IFERROR('Daten Auswertung'!Z133,-999)</f>
        <v>-999</v>
      </c>
      <c r="D225" s="58">
        <f>IFERROR('Daten Auswertung'!AA133,-999)</f>
        <v>-999</v>
      </c>
      <c r="E225" s="60" t="str">
        <f t="shared" si="67"/>
        <v/>
      </c>
      <c r="F225" s="146">
        <f t="shared" si="68"/>
        <v>-29738</v>
      </c>
      <c r="G225" s="96" t="e">
        <f t="shared" si="81"/>
        <v>#VALUE!</v>
      </c>
      <c r="I225" s="13">
        <f t="shared" si="60"/>
        <v>-999</v>
      </c>
      <c r="J225">
        <f t="shared" si="61"/>
        <v>-999</v>
      </c>
      <c r="K225" t="str">
        <f t="shared" si="72"/>
        <v/>
      </c>
      <c r="O225" s="66" t="e">
        <f t="shared" si="73"/>
        <v>#VALUE!</v>
      </c>
      <c r="P225" s="10" t="e">
        <f t="shared" si="74"/>
        <v>#VALUE!</v>
      </c>
      <c r="Q225" s="145">
        <f t="shared" si="75"/>
        <v>-999</v>
      </c>
      <c r="R225" t="e">
        <f t="shared" si="70"/>
        <v>#VALUE!</v>
      </c>
      <c r="S225" s="9" t="e">
        <f t="shared" si="62"/>
        <v>#VALUE!</v>
      </c>
      <c r="T225" s="114" t="e">
        <f t="shared" si="76"/>
        <v>#VALUE!</v>
      </c>
      <c r="U225" s="63" t="e">
        <f t="shared" si="77"/>
        <v>#VALUE!</v>
      </c>
      <c r="V225" s="113" t="e">
        <f t="shared" si="63"/>
        <v>#VALUE!</v>
      </c>
      <c r="W225" s="63" t="e">
        <f t="shared" si="79"/>
        <v>#VALUE!</v>
      </c>
      <c r="X225" s="67" t="e">
        <f t="shared" si="65"/>
        <v>#VALUE!</v>
      </c>
      <c r="Y225" s="63"/>
      <c r="Z225" s="121">
        <f t="shared" si="78"/>
        <v>-999</v>
      </c>
      <c r="AA225" s="121">
        <f t="shared" si="80"/>
        <v>-999</v>
      </c>
      <c r="AB225" s="121">
        <f t="shared" si="71"/>
        <v>-999</v>
      </c>
    </row>
    <row r="226" spans="2:28" x14ac:dyDescent="0.25">
      <c r="B226" s="57">
        <f>IFERROR('Daten Auswertung'!Y134,-999)</f>
        <v>-999</v>
      </c>
      <c r="C226" s="57">
        <f>IFERROR('Daten Auswertung'!Z134,-999)</f>
        <v>-999</v>
      </c>
      <c r="D226" s="58">
        <f>IFERROR('Daten Auswertung'!AA134,-999)</f>
        <v>-999</v>
      </c>
      <c r="E226" s="60" t="str">
        <f t="shared" si="67"/>
        <v/>
      </c>
      <c r="F226" s="146">
        <f t="shared" si="68"/>
        <v>0</v>
      </c>
      <c r="G226" s="96" t="e">
        <f t="shared" si="81"/>
        <v>#VALUE!</v>
      </c>
      <c r="I226" s="13">
        <f t="shared" si="60"/>
        <v>-999</v>
      </c>
      <c r="J226">
        <f t="shared" si="61"/>
        <v>-999</v>
      </c>
      <c r="K226" t="str">
        <f t="shared" si="72"/>
        <v/>
      </c>
      <c r="O226" s="66" t="e">
        <f t="shared" si="73"/>
        <v>#VALUE!</v>
      </c>
      <c r="P226" s="10" t="e">
        <f t="shared" si="74"/>
        <v>#VALUE!</v>
      </c>
      <c r="Q226" s="145">
        <f t="shared" si="75"/>
        <v>-999</v>
      </c>
      <c r="R226" t="e">
        <f t="shared" si="70"/>
        <v>#VALUE!</v>
      </c>
      <c r="S226" s="9" t="e">
        <f t="shared" si="62"/>
        <v>#VALUE!</v>
      </c>
      <c r="T226" s="114" t="e">
        <f t="shared" si="76"/>
        <v>#VALUE!</v>
      </c>
      <c r="U226" s="63" t="e">
        <f t="shared" si="77"/>
        <v>#VALUE!</v>
      </c>
      <c r="V226" s="113" t="e">
        <f t="shared" si="63"/>
        <v>#VALUE!</v>
      </c>
      <c r="W226" s="63" t="e">
        <f t="shared" si="79"/>
        <v>#VALUE!</v>
      </c>
      <c r="X226" s="67" t="e">
        <f t="shared" si="65"/>
        <v>#VALUE!</v>
      </c>
      <c r="Y226" s="63"/>
      <c r="Z226" s="121">
        <f t="shared" si="78"/>
        <v>-999</v>
      </c>
      <c r="AA226" s="121">
        <f t="shared" si="80"/>
        <v>-999</v>
      </c>
      <c r="AB226" s="121">
        <f t="shared" si="71"/>
        <v>-999</v>
      </c>
    </row>
    <row r="227" spans="2:28" x14ac:dyDescent="0.25">
      <c r="B227" s="57">
        <f>IFERROR('Daten Auswertung'!Y135,-999)</f>
        <v>-999</v>
      </c>
      <c r="C227" s="57">
        <f>IFERROR('Daten Auswertung'!Z135,-999)</f>
        <v>-999</v>
      </c>
      <c r="D227" s="58">
        <f>IFERROR('Daten Auswertung'!AA135,-999)</f>
        <v>-999</v>
      </c>
      <c r="E227" s="60" t="str">
        <f t="shared" si="67"/>
        <v/>
      </c>
      <c r="F227" s="146">
        <f t="shared" si="68"/>
        <v>0</v>
      </c>
      <c r="G227" s="96" t="e">
        <f t="shared" si="81"/>
        <v>#VALUE!</v>
      </c>
      <c r="I227" s="13">
        <f t="shared" si="60"/>
        <v>-999</v>
      </c>
      <c r="J227">
        <f t="shared" si="61"/>
        <v>-999</v>
      </c>
      <c r="K227" t="str">
        <f t="shared" si="72"/>
        <v/>
      </c>
      <c r="O227" s="66" t="e">
        <f t="shared" si="73"/>
        <v>#VALUE!</v>
      </c>
      <c r="P227" s="10" t="e">
        <f t="shared" si="74"/>
        <v>#VALUE!</v>
      </c>
      <c r="Q227" s="145">
        <f t="shared" si="75"/>
        <v>-999</v>
      </c>
      <c r="R227" t="e">
        <f t="shared" si="70"/>
        <v>#VALUE!</v>
      </c>
      <c r="S227" s="9" t="e">
        <f t="shared" si="62"/>
        <v>#VALUE!</v>
      </c>
      <c r="T227" s="114" t="e">
        <f t="shared" si="76"/>
        <v>#VALUE!</v>
      </c>
      <c r="U227" s="63" t="e">
        <f t="shared" si="77"/>
        <v>#VALUE!</v>
      </c>
      <c r="V227" s="113" t="e">
        <f t="shared" si="63"/>
        <v>#VALUE!</v>
      </c>
      <c r="W227" s="63" t="e">
        <f t="shared" si="79"/>
        <v>#VALUE!</v>
      </c>
      <c r="X227" s="67" t="e">
        <f t="shared" si="65"/>
        <v>#VALUE!</v>
      </c>
      <c r="Y227" s="63"/>
      <c r="Z227" s="121">
        <f t="shared" si="78"/>
        <v>-999</v>
      </c>
      <c r="AA227" s="121">
        <f t="shared" si="80"/>
        <v>-999</v>
      </c>
      <c r="AB227" s="121">
        <f t="shared" si="71"/>
        <v>-999</v>
      </c>
    </row>
    <row r="228" spans="2:28" x14ac:dyDescent="0.25">
      <c r="B228" s="57">
        <f>IFERROR('Daten Auswertung'!Y136,-999)</f>
        <v>-999</v>
      </c>
      <c r="C228" s="57">
        <f>IFERROR('Daten Auswertung'!Z136,-999)</f>
        <v>-999</v>
      </c>
      <c r="D228" s="58">
        <f>IFERROR('Daten Auswertung'!AA136,-999)</f>
        <v>-999</v>
      </c>
      <c r="E228" s="60" t="str">
        <f t="shared" si="67"/>
        <v/>
      </c>
      <c r="F228" s="146">
        <f t="shared" si="68"/>
        <v>0</v>
      </c>
      <c r="G228" s="96" t="e">
        <f t="shared" si="81"/>
        <v>#VALUE!</v>
      </c>
      <c r="I228" s="13">
        <f t="shared" si="60"/>
        <v>-999</v>
      </c>
      <c r="J228">
        <f t="shared" si="61"/>
        <v>-999</v>
      </c>
      <c r="K228" t="str">
        <f t="shared" si="72"/>
        <v/>
      </c>
      <c r="O228" s="66" t="e">
        <f t="shared" si="73"/>
        <v>#VALUE!</v>
      </c>
      <c r="P228" s="10" t="e">
        <f t="shared" si="74"/>
        <v>#VALUE!</v>
      </c>
      <c r="Q228" s="145">
        <f t="shared" si="75"/>
        <v>-999</v>
      </c>
      <c r="R228" t="e">
        <f t="shared" si="70"/>
        <v>#VALUE!</v>
      </c>
      <c r="S228" s="9" t="e">
        <f t="shared" si="62"/>
        <v>#VALUE!</v>
      </c>
      <c r="T228" s="114" t="e">
        <f t="shared" si="76"/>
        <v>#VALUE!</v>
      </c>
      <c r="U228" s="63" t="e">
        <f t="shared" si="77"/>
        <v>#VALUE!</v>
      </c>
      <c r="V228" s="113" t="e">
        <f t="shared" si="63"/>
        <v>#VALUE!</v>
      </c>
      <c r="W228" s="63" t="e">
        <f t="shared" si="79"/>
        <v>#VALUE!</v>
      </c>
      <c r="X228" s="67" t="e">
        <f t="shared" si="65"/>
        <v>#VALUE!</v>
      </c>
      <c r="Y228" s="63"/>
      <c r="Z228" s="121">
        <f t="shared" si="78"/>
        <v>-999</v>
      </c>
      <c r="AA228" s="121">
        <f t="shared" si="80"/>
        <v>-999</v>
      </c>
      <c r="AB228" s="121">
        <f t="shared" si="71"/>
        <v>-999</v>
      </c>
    </row>
    <row r="229" spans="2:28" x14ac:dyDescent="0.25">
      <c r="B229" s="57">
        <f>IFERROR('Daten Auswertung'!Y137,-999)</f>
        <v>-999</v>
      </c>
      <c r="C229" s="57">
        <f>IFERROR('Daten Auswertung'!Z137,-999)</f>
        <v>-999</v>
      </c>
      <c r="D229" s="58">
        <f>IFERROR('Daten Auswertung'!AA137,-999)</f>
        <v>-999</v>
      </c>
      <c r="E229" s="60" t="str">
        <f t="shared" si="67"/>
        <v/>
      </c>
      <c r="F229" s="146">
        <f t="shared" si="68"/>
        <v>0</v>
      </c>
      <c r="G229" s="96" t="e">
        <f t="shared" si="81"/>
        <v>#VALUE!</v>
      </c>
      <c r="I229" s="13">
        <f t="shared" si="60"/>
        <v>-999</v>
      </c>
      <c r="J229">
        <f t="shared" si="61"/>
        <v>-999</v>
      </c>
      <c r="K229" t="str">
        <f t="shared" si="72"/>
        <v/>
      </c>
      <c r="O229" s="66" t="e">
        <f t="shared" si="73"/>
        <v>#VALUE!</v>
      </c>
      <c r="P229" s="10" t="e">
        <f t="shared" si="74"/>
        <v>#VALUE!</v>
      </c>
      <c r="Q229" s="145">
        <f t="shared" si="75"/>
        <v>-999</v>
      </c>
      <c r="R229" t="e">
        <f t="shared" si="70"/>
        <v>#VALUE!</v>
      </c>
      <c r="S229" s="9" t="e">
        <f t="shared" si="62"/>
        <v>#VALUE!</v>
      </c>
      <c r="T229" s="114" t="e">
        <f t="shared" si="76"/>
        <v>#VALUE!</v>
      </c>
      <c r="U229" s="63" t="e">
        <f t="shared" si="77"/>
        <v>#VALUE!</v>
      </c>
      <c r="V229" s="113" t="e">
        <f t="shared" si="63"/>
        <v>#VALUE!</v>
      </c>
      <c r="W229" s="63" t="e">
        <f t="shared" si="79"/>
        <v>#VALUE!</v>
      </c>
      <c r="X229" s="67" t="e">
        <f t="shared" si="65"/>
        <v>#VALUE!</v>
      </c>
      <c r="Y229" s="63"/>
      <c r="Z229" s="121">
        <f t="shared" si="78"/>
        <v>-999</v>
      </c>
      <c r="AA229" s="121">
        <f t="shared" si="80"/>
        <v>-999</v>
      </c>
      <c r="AB229" s="121">
        <f t="shared" si="71"/>
        <v>-999</v>
      </c>
    </row>
    <row r="230" spans="2:28" x14ac:dyDescent="0.25">
      <c r="B230" s="57">
        <f>IFERROR('Daten Auswertung'!Y138,-999)</f>
        <v>-999</v>
      </c>
      <c r="C230" s="57">
        <f>IFERROR('Daten Auswertung'!Z138,-999)</f>
        <v>-999</v>
      </c>
      <c r="D230" s="58">
        <f>IFERROR('Daten Auswertung'!AA138,-999)</f>
        <v>-999</v>
      </c>
      <c r="E230" s="60" t="str">
        <f t="shared" si="67"/>
        <v/>
      </c>
      <c r="F230" s="146">
        <f t="shared" si="68"/>
        <v>0</v>
      </c>
      <c r="G230" s="96" t="e">
        <f t="shared" si="81"/>
        <v>#VALUE!</v>
      </c>
      <c r="I230" s="13">
        <f t="shared" si="60"/>
        <v>-999</v>
      </c>
      <c r="J230">
        <f t="shared" si="61"/>
        <v>-999</v>
      </c>
      <c r="K230" t="str">
        <f t="shared" si="72"/>
        <v/>
      </c>
      <c r="O230" s="66" t="e">
        <f t="shared" si="73"/>
        <v>#VALUE!</v>
      </c>
      <c r="P230" s="10" t="e">
        <f t="shared" si="74"/>
        <v>#VALUE!</v>
      </c>
      <c r="Q230" s="145">
        <f t="shared" si="75"/>
        <v>-999</v>
      </c>
      <c r="R230" t="e">
        <f t="shared" si="70"/>
        <v>#VALUE!</v>
      </c>
      <c r="S230" s="9" t="e">
        <f t="shared" si="62"/>
        <v>#VALUE!</v>
      </c>
      <c r="T230" s="114" t="e">
        <f t="shared" si="76"/>
        <v>#VALUE!</v>
      </c>
      <c r="U230" s="63" t="e">
        <f t="shared" si="77"/>
        <v>#VALUE!</v>
      </c>
      <c r="V230" s="113" t="e">
        <f t="shared" si="63"/>
        <v>#VALUE!</v>
      </c>
      <c r="W230" s="63" t="e">
        <f t="shared" si="79"/>
        <v>#VALUE!</v>
      </c>
      <c r="X230" s="67" t="e">
        <f t="shared" si="65"/>
        <v>#VALUE!</v>
      </c>
      <c r="Y230" s="63"/>
      <c r="Z230" s="121">
        <f t="shared" si="78"/>
        <v>-999</v>
      </c>
      <c r="AA230" s="121">
        <f t="shared" si="80"/>
        <v>-999</v>
      </c>
      <c r="AB230" s="121">
        <f t="shared" si="71"/>
        <v>-999</v>
      </c>
    </row>
    <row r="231" spans="2:28" x14ac:dyDescent="0.25">
      <c r="B231" s="57">
        <f>IFERROR('Daten Auswertung'!Y139,-999)</f>
        <v>-999</v>
      </c>
      <c r="C231" s="57">
        <f>IFERROR('Daten Auswertung'!Z139,-999)</f>
        <v>-999</v>
      </c>
      <c r="D231" s="58">
        <f>IFERROR('Daten Auswertung'!AA139,-999)</f>
        <v>-999</v>
      </c>
      <c r="E231" s="60" t="str">
        <f t="shared" si="67"/>
        <v/>
      </c>
      <c r="F231" s="146">
        <f t="shared" si="68"/>
        <v>0</v>
      </c>
      <c r="G231" s="96" t="e">
        <f t="shared" si="81"/>
        <v>#VALUE!</v>
      </c>
      <c r="I231" s="13">
        <f t="shared" si="60"/>
        <v>-999</v>
      </c>
      <c r="J231">
        <f t="shared" si="61"/>
        <v>-999</v>
      </c>
      <c r="K231" t="str">
        <f t="shared" si="72"/>
        <v/>
      </c>
      <c r="O231" s="66" t="e">
        <f t="shared" si="73"/>
        <v>#VALUE!</v>
      </c>
      <c r="P231" s="10" t="e">
        <f t="shared" si="74"/>
        <v>#VALUE!</v>
      </c>
      <c r="Q231" s="145">
        <f t="shared" si="75"/>
        <v>-999</v>
      </c>
      <c r="R231" t="e">
        <f t="shared" si="70"/>
        <v>#VALUE!</v>
      </c>
      <c r="S231" s="9" t="e">
        <f t="shared" si="62"/>
        <v>#VALUE!</v>
      </c>
      <c r="T231" s="114" t="e">
        <f t="shared" si="76"/>
        <v>#VALUE!</v>
      </c>
      <c r="U231" s="63" t="e">
        <f t="shared" si="77"/>
        <v>#VALUE!</v>
      </c>
      <c r="V231" s="113" t="e">
        <f t="shared" si="63"/>
        <v>#VALUE!</v>
      </c>
      <c r="W231" s="63" t="e">
        <f t="shared" si="79"/>
        <v>#VALUE!</v>
      </c>
      <c r="X231" s="67" t="e">
        <f t="shared" si="65"/>
        <v>#VALUE!</v>
      </c>
      <c r="Y231" s="63"/>
      <c r="Z231" s="121">
        <f t="shared" si="78"/>
        <v>-999</v>
      </c>
      <c r="AA231" s="121">
        <f t="shared" si="80"/>
        <v>-999</v>
      </c>
      <c r="AB231" s="121">
        <f t="shared" si="71"/>
        <v>-999</v>
      </c>
    </row>
    <row r="232" spans="2:28" x14ac:dyDescent="0.25">
      <c r="B232" s="57">
        <f>IFERROR('Daten Auswertung'!Y140,-999)</f>
        <v>-999</v>
      </c>
      <c r="C232" s="57">
        <f>IFERROR('Daten Auswertung'!Z140,-999)</f>
        <v>-999</v>
      </c>
      <c r="D232" s="58">
        <f>IFERROR('Daten Auswertung'!AA140,-999)</f>
        <v>-999</v>
      </c>
      <c r="E232" s="60" t="str">
        <f t="shared" si="67"/>
        <v/>
      </c>
      <c r="F232" s="146">
        <f t="shared" si="68"/>
        <v>0</v>
      </c>
      <c r="G232" s="96" t="e">
        <f t="shared" si="81"/>
        <v>#VALUE!</v>
      </c>
      <c r="I232" s="13">
        <f t="shared" si="60"/>
        <v>-999</v>
      </c>
      <c r="J232">
        <f t="shared" si="61"/>
        <v>-999</v>
      </c>
      <c r="K232" t="str">
        <f t="shared" si="72"/>
        <v/>
      </c>
      <c r="O232" s="66" t="e">
        <f t="shared" si="73"/>
        <v>#VALUE!</v>
      </c>
      <c r="P232" s="10" t="e">
        <f t="shared" si="74"/>
        <v>#VALUE!</v>
      </c>
      <c r="Q232" s="145">
        <f t="shared" si="75"/>
        <v>-999</v>
      </c>
      <c r="R232" t="e">
        <f t="shared" si="70"/>
        <v>#VALUE!</v>
      </c>
      <c r="S232" s="9" t="e">
        <f t="shared" si="62"/>
        <v>#VALUE!</v>
      </c>
      <c r="T232" s="114" t="e">
        <f t="shared" si="76"/>
        <v>#VALUE!</v>
      </c>
      <c r="U232" s="63" t="e">
        <f t="shared" si="77"/>
        <v>#VALUE!</v>
      </c>
      <c r="V232" s="113" t="e">
        <f t="shared" si="63"/>
        <v>#VALUE!</v>
      </c>
      <c r="W232" s="63" t="e">
        <f t="shared" si="79"/>
        <v>#VALUE!</v>
      </c>
      <c r="X232" s="67" t="e">
        <f t="shared" si="65"/>
        <v>#VALUE!</v>
      </c>
      <c r="Y232" s="63"/>
      <c r="Z232" s="121">
        <f t="shared" si="78"/>
        <v>-999</v>
      </c>
      <c r="AA232" s="121">
        <f t="shared" si="80"/>
        <v>-999</v>
      </c>
      <c r="AB232" s="121">
        <f t="shared" si="71"/>
        <v>-999</v>
      </c>
    </row>
    <row r="233" spans="2:28" x14ac:dyDescent="0.25">
      <c r="B233" s="57">
        <f>IFERROR('Daten Auswertung'!Y141,-999)</f>
        <v>-999</v>
      </c>
      <c r="C233" s="57">
        <f>IFERROR('Daten Auswertung'!Z141,-999)</f>
        <v>-999</v>
      </c>
      <c r="D233" s="58">
        <f>IFERROR('Daten Auswertung'!AA141,-999)</f>
        <v>-999</v>
      </c>
      <c r="E233" s="60" t="str">
        <f t="shared" si="67"/>
        <v/>
      </c>
      <c r="F233" s="146">
        <f t="shared" si="68"/>
        <v>0</v>
      </c>
      <c r="G233" s="96" t="e">
        <f t="shared" si="81"/>
        <v>#VALUE!</v>
      </c>
      <c r="I233" s="13">
        <f t="shared" si="60"/>
        <v>-999</v>
      </c>
      <c r="J233">
        <f t="shared" si="61"/>
        <v>-999</v>
      </c>
      <c r="K233" t="str">
        <f t="shared" si="72"/>
        <v/>
      </c>
      <c r="O233" s="66" t="e">
        <f t="shared" si="73"/>
        <v>#VALUE!</v>
      </c>
      <c r="P233" s="10" t="e">
        <f t="shared" si="74"/>
        <v>#VALUE!</v>
      </c>
      <c r="Q233" s="145">
        <f t="shared" si="75"/>
        <v>-999</v>
      </c>
      <c r="R233" t="e">
        <f t="shared" si="70"/>
        <v>#VALUE!</v>
      </c>
      <c r="S233" s="9" t="e">
        <f t="shared" si="62"/>
        <v>#VALUE!</v>
      </c>
      <c r="T233" s="114" t="e">
        <f t="shared" si="76"/>
        <v>#VALUE!</v>
      </c>
      <c r="U233" s="63" t="e">
        <f t="shared" si="77"/>
        <v>#VALUE!</v>
      </c>
      <c r="V233" s="113" t="e">
        <f t="shared" si="63"/>
        <v>#VALUE!</v>
      </c>
      <c r="W233" s="63" t="e">
        <f t="shared" si="79"/>
        <v>#VALUE!</v>
      </c>
      <c r="X233" s="67" t="e">
        <f t="shared" si="65"/>
        <v>#VALUE!</v>
      </c>
      <c r="Y233" s="63"/>
      <c r="Z233" s="121">
        <f t="shared" si="78"/>
        <v>-999</v>
      </c>
      <c r="AA233" s="121">
        <f t="shared" si="80"/>
        <v>-999</v>
      </c>
      <c r="AB233" s="121">
        <f t="shared" si="71"/>
        <v>-999</v>
      </c>
    </row>
    <row r="234" spans="2:28" x14ac:dyDescent="0.25">
      <c r="B234" s="57">
        <f>IFERROR('Daten Auswertung'!Y142,-999)</f>
        <v>-999</v>
      </c>
      <c r="C234" s="57">
        <f>IFERROR('Daten Auswertung'!Z142,-999)</f>
        <v>-999</v>
      </c>
      <c r="D234" s="58">
        <f>IFERROR('Daten Auswertung'!AA142,-999)</f>
        <v>-999</v>
      </c>
      <c r="E234" s="60" t="str">
        <f t="shared" si="67"/>
        <v/>
      </c>
      <c r="F234" s="146">
        <f t="shared" si="68"/>
        <v>0</v>
      </c>
      <c r="G234" s="96" t="e">
        <f t="shared" si="81"/>
        <v>#VALUE!</v>
      </c>
      <c r="I234" s="13">
        <f t="shared" si="60"/>
        <v>-999</v>
      </c>
      <c r="J234">
        <f t="shared" si="61"/>
        <v>-999</v>
      </c>
      <c r="K234" t="str">
        <f t="shared" si="72"/>
        <v/>
      </c>
      <c r="O234" s="66" t="e">
        <f t="shared" si="73"/>
        <v>#VALUE!</v>
      </c>
      <c r="P234" s="10" t="e">
        <f t="shared" si="74"/>
        <v>#VALUE!</v>
      </c>
      <c r="Q234" s="145">
        <f t="shared" si="75"/>
        <v>-999</v>
      </c>
      <c r="R234" t="e">
        <f t="shared" si="70"/>
        <v>#VALUE!</v>
      </c>
      <c r="S234" s="9" t="e">
        <f t="shared" si="62"/>
        <v>#VALUE!</v>
      </c>
      <c r="T234" s="114" t="e">
        <f t="shared" si="76"/>
        <v>#VALUE!</v>
      </c>
      <c r="U234" s="63" t="e">
        <f t="shared" si="77"/>
        <v>#VALUE!</v>
      </c>
      <c r="V234" s="113" t="e">
        <f t="shared" si="63"/>
        <v>#VALUE!</v>
      </c>
      <c r="W234" s="63" t="e">
        <f t="shared" si="79"/>
        <v>#VALUE!</v>
      </c>
      <c r="X234" s="67" t="e">
        <f t="shared" si="65"/>
        <v>#VALUE!</v>
      </c>
      <c r="Y234" s="63"/>
      <c r="Z234" s="121">
        <f t="shared" si="78"/>
        <v>-999</v>
      </c>
      <c r="AA234" s="121">
        <f t="shared" si="80"/>
        <v>-999</v>
      </c>
      <c r="AB234" s="121">
        <f t="shared" si="71"/>
        <v>-999</v>
      </c>
    </row>
    <row r="235" spans="2:28" x14ac:dyDescent="0.25">
      <c r="B235" s="57">
        <f>IFERROR('Daten Auswertung'!Y143,-999)</f>
        <v>-999</v>
      </c>
      <c r="C235" s="57">
        <f>IFERROR('Daten Auswertung'!Z143,-999)</f>
        <v>-999</v>
      </c>
      <c r="D235" s="58">
        <f>IFERROR('Daten Auswertung'!AA143,-999)</f>
        <v>-999</v>
      </c>
      <c r="E235" s="60" t="str">
        <f t="shared" si="67"/>
        <v/>
      </c>
      <c r="F235" s="146">
        <f t="shared" si="68"/>
        <v>0</v>
      </c>
      <c r="G235" s="96" t="e">
        <f t="shared" si="81"/>
        <v>#VALUE!</v>
      </c>
      <c r="I235" s="13">
        <f t="shared" si="60"/>
        <v>-999</v>
      </c>
      <c r="J235">
        <f t="shared" si="61"/>
        <v>-999</v>
      </c>
      <c r="K235" t="str">
        <f t="shared" si="72"/>
        <v/>
      </c>
      <c r="O235" s="66" t="e">
        <f t="shared" si="73"/>
        <v>#VALUE!</v>
      </c>
      <c r="P235" s="10" t="e">
        <f t="shared" si="74"/>
        <v>#VALUE!</v>
      </c>
      <c r="Q235" s="145">
        <f t="shared" si="75"/>
        <v>-999</v>
      </c>
      <c r="R235" t="e">
        <f t="shared" si="70"/>
        <v>#VALUE!</v>
      </c>
      <c r="S235" s="9" t="e">
        <f t="shared" si="62"/>
        <v>#VALUE!</v>
      </c>
      <c r="T235" s="114" t="e">
        <f t="shared" si="76"/>
        <v>#VALUE!</v>
      </c>
      <c r="U235" s="63" t="e">
        <f t="shared" si="77"/>
        <v>#VALUE!</v>
      </c>
      <c r="V235" s="113" t="e">
        <f t="shared" si="63"/>
        <v>#VALUE!</v>
      </c>
      <c r="W235" s="63" t="e">
        <f t="shared" si="79"/>
        <v>#VALUE!</v>
      </c>
      <c r="X235" s="67" t="e">
        <f t="shared" si="65"/>
        <v>#VALUE!</v>
      </c>
      <c r="Y235" s="63"/>
      <c r="Z235" s="121">
        <f t="shared" si="78"/>
        <v>-999</v>
      </c>
      <c r="AA235" s="121">
        <f t="shared" si="80"/>
        <v>-999</v>
      </c>
      <c r="AB235" s="121">
        <f t="shared" si="71"/>
        <v>-999</v>
      </c>
    </row>
    <row r="236" spans="2:28" x14ac:dyDescent="0.25">
      <c r="B236" s="57">
        <f>IFERROR('Daten Auswertung'!Y144,-999)</f>
        <v>-999</v>
      </c>
      <c r="C236" s="57">
        <f>IFERROR('Daten Auswertung'!Z144,-999)</f>
        <v>-999</v>
      </c>
      <c r="D236" s="58">
        <f>IFERROR('Daten Auswertung'!AA144,-999)</f>
        <v>-999</v>
      </c>
      <c r="E236" s="60" t="str">
        <f t="shared" si="67"/>
        <v/>
      </c>
      <c r="F236" s="146">
        <f t="shared" si="68"/>
        <v>0</v>
      </c>
      <c r="G236" s="96" t="e">
        <f t="shared" si="81"/>
        <v>#VALUE!</v>
      </c>
      <c r="I236" s="13">
        <f t="shared" si="60"/>
        <v>-999</v>
      </c>
      <c r="J236">
        <f t="shared" si="61"/>
        <v>-999</v>
      </c>
      <c r="K236" t="str">
        <f t="shared" si="72"/>
        <v/>
      </c>
      <c r="O236" s="66" t="e">
        <f t="shared" si="73"/>
        <v>#VALUE!</v>
      </c>
      <c r="P236" s="10" t="e">
        <f t="shared" si="74"/>
        <v>#VALUE!</v>
      </c>
      <c r="Q236" s="145">
        <f t="shared" si="75"/>
        <v>-999</v>
      </c>
      <c r="R236" t="e">
        <f t="shared" si="70"/>
        <v>#VALUE!</v>
      </c>
      <c r="S236" s="9" t="e">
        <f t="shared" si="62"/>
        <v>#VALUE!</v>
      </c>
      <c r="T236" s="114" t="e">
        <f t="shared" si="76"/>
        <v>#VALUE!</v>
      </c>
      <c r="U236" s="63" t="e">
        <f t="shared" si="77"/>
        <v>#VALUE!</v>
      </c>
      <c r="V236" s="113" t="e">
        <f t="shared" si="63"/>
        <v>#VALUE!</v>
      </c>
      <c r="W236" s="63" t="e">
        <f t="shared" si="79"/>
        <v>#VALUE!</v>
      </c>
      <c r="X236" s="67" t="e">
        <f t="shared" si="65"/>
        <v>#VALUE!</v>
      </c>
      <c r="Y236" s="63"/>
      <c r="Z236" s="121">
        <f t="shared" si="78"/>
        <v>-999</v>
      </c>
      <c r="AA236" s="121">
        <f t="shared" si="80"/>
        <v>-999</v>
      </c>
      <c r="AB236" s="121">
        <f t="shared" si="71"/>
        <v>-999</v>
      </c>
    </row>
    <row r="237" spans="2:28" x14ac:dyDescent="0.25">
      <c r="B237" s="57">
        <f>IFERROR('Daten Auswertung'!Y145,-999)</f>
        <v>-999</v>
      </c>
      <c r="C237" s="57">
        <f>IFERROR('Daten Auswertung'!Z145,-999)</f>
        <v>-999</v>
      </c>
      <c r="D237" s="58">
        <f>IFERROR('Daten Auswertung'!AA145,-999)</f>
        <v>-999</v>
      </c>
      <c r="E237" s="60" t="str">
        <f t="shared" si="67"/>
        <v/>
      </c>
      <c r="F237" s="146">
        <f t="shared" si="68"/>
        <v>0</v>
      </c>
      <c r="G237" s="96" t="e">
        <f t="shared" si="81"/>
        <v>#VALUE!</v>
      </c>
      <c r="I237" s="13">
        <f t="shared" si="60"/>
        <v>-999</v>
      </c>
      <c r="J237">
        <f t="shared" si="61"/>
        <v>-999</v>
      </c>
      <c r="K237" t="str">
        <f t="shared" si="72"/>
        <v/>
      </c>
      <c r="O237" s="66" t="e">
        <f t="shared" si="73"/>
        <v>#VALUE!</v>
      </c>
      <c r="P237" s="10" t="e">
        <f t="shared" si="74"/>
        <v>#VALUE!</v>
      </c>
      <c r="Q237" s="145">
        <f t="shared" si="75"/>
        <v>-999</v>
      </c>
      <c r="R237" t="e">
        <f t="shared" si="70"/>
        <v>#VALUE!</v>
      </c>
      <c r="S237" s="9" t="e">
        <f t="shared" si="62"/>
        <v>#VALUE!</v>
      </c>
      <c r="T237" s="114" t="e">
        <f t="shared" si="76"/>
        <v>#VALUE!</v>
      </c>
      <c r="U237" s="63" t="e">
        <f t="shared" si="77"/>
        <v>#VALUE!</v>
      </c>
      <c r="V237" s="113" t="e">
        <f t="shared" si="63"/>
        <v>#VALUE!</v>
      </c>
      <c r="W237" s="63" t="e">
        <f t="shared" si="79"/>
        <v>#VALUE!</v>
      </c>
      <c r="X237" s="67" t="e">
        <f t="shared" si="65"/>
        <v>#VALUE!</v>
      </c>
      <c r="Y237" s="63"/>
      <c r="Z237" s="121">
        <f t="shared" si="78"/>
        <v>-999</v>
      </c>
      <c r="AA237" s="121">
        <f t="shared" si="80"/>
        <v>-999</v>
      </c>
      <c r="AB237" s="121">
        <f t="shared" si="71"/>
        <v>-999</v>
      </c>
    </row>
    <row r="238" spans="2:28" x14ac:dyDescent="0.25">
      <c r="B238" s="57">
        <f>IFERROR('Daten Auswertung'!Y146,-999)</f>
        <v>-999</v>
      </c>
      <c r="C238" s="57">
        <f>IFERROR('Daten Auswertung'!Z146,-999)</f>
        <v>-999</v>
      </c>
      <c r="D238" s="58">
        <f>IFERROR('Daten Auswertung'!AA146,-999)</f>
        <v>-999</v>
      </c>
      <c r="E238" s="60" t="str">
        <f t="shared" si="67"/>
        <v/>
      </c>
      <c r="F238" s="146">
        <f t="shared" si="68"/>
        <v>0</v>
      </c>
      <c r="G238" s="96" t="e">
        <f t="shared" si="81"/>
        <v>#VALUE!</v>
      </c>
      <c r="I238" s="13">
        <f t="shared" si="60"/>
        <v>-999</v>
      </c>
      <c r="J238">
        <f t="shared" si="61"/>
        <v>-999</v>
      </c>
      <c r="K238" t="str">
        <f t="shared" si="72"/>
        <v/>
      </c>
      <c r="O238" s="66" t="e">
        <f t="shared" si="73"/>
        <v>#VALUE!</v>
      </c>
      <c r="P238" s="10" t="e">
        <f t="shared" si="74"/>
        <v>#VALUE!</v>
      </c>
      <c r="Q238" s="145">
        <f t="shared" si="75"/>
        <v>-999</v>
      </c>
      <c r="R238" t="e">
        <f t="shared" si="70"/>
        <v>#VALUE!</v>
      </c>
      <c r="S238" s="9" t="e">
        <f t="shared" si="62"/>
        <v>#VALUE!</v>
      </c>
      <c r="T238" s="114" t="e">
        <f t="shared" si="76"/>
        <v>#VALUE!</v>
      </c>
      <c r="U238" s="63" t="e">
        <f t="shared" si="77"/>
        <v>#VALUE!</v>
      </c>
      <c r="V238" s="113" t="e">
        <f t="shared" si="63"/>
        <v>#VALUE!</v>
      </c>
      <c r="W238" s="63" t="e">
        <f t="shared" si="79"/>
        <v>#VALUE!</v>
      </c>
      <c r="X238" s="67" t="e">
        <f t="shared" si="65"/>
        <v>#VALUE!</v>
      </c>
      <c r="Y238" s="63"/>
      <c r="Z238" s="121">
        <f t="shared" si="78"/>
        <v>-999</v>
      </c>
      <c r="AA238" s="121">
        <f t="shared" si="80"/>
        <v>-999</v>
      </c>
      <c r="AB238" s="121">
        <f t="shared" si="71"/>
        <v>-999</v>
      </c>
    </row>
    <row r="239" spans="2:28" x14ac:dyDescent="0.25">
      <c r="B239" s="57">
        <f>IFERROR('Daten Auswertung'!Y147,-999)</f>
        <v>-999</v>
      </c>
      <c r="C239" s="57">
        <f>IFERROR('Daten Auswertung'!Z147,-999)</f>
        <v>-999</v>
      </c>
      <c r="D239" s="58">
        <f>IFERROR('Daten Auswertung'!AA147,-999)</f>
        <v>-999</v>
      </c>
      <c r="E239" s="60" t="str">
        <f t="shared" si="67"/>
        <v/>
      </c>
      <c r="F239" s="146">
        <f t="shared" si="68"/>
        <v>0</v>
      </c>
      <c r="G239" s="96" t="e">
        <f t="shared" si="81"/>
        <v>#VALUE!</v>
      </c>
      <c r="I239" s="13">
        <f t="shared" si="60"/>
        <v>-999</v>
      </c>
      <c r="J239">
        <f t="shared" si="61"/>
        <v>-999</v>
      </c>
      <c r="K239" t="str">
        <f t="shared" si="72"/>
        <v/>
      </c>
      <c r="O239" s="66" t="e">
        <f t="shared" si="73"/>
        <v>#VALUE!</v>
      </c>
      <c r="P239" s="10" t="e">
        <f t="shared" si="74"/>
        <v>#VALUE!</v>
      </c>
      <c r="Q239" s="145">
        <f t="shared" si="75"/>
        <v>-999</v>
      </c>
      <c r="R239" t="e">
        <f t="shared" si="70"/>
        <v>#VALUE!</v>
      </c>
      <c r="S239" s="9" t="e">
        <f t="shared" si="62"/>
        <v>#VALUE!</v>
      </c>
      <c r="T239" s="114" t="e">
        <f t="shared" si="76"/>
        <v>#VALUE!</v>
      </c>
      <c r="U239" s="63" t="e">
        <f t="shared" si="77"/>
        <v>#VALUE!</v>
      </c>
      <c r="V239" s="113" t="e">
        <f t="shared" si="63"/>
        <v>#VALUE!</v>
      </c>
      <c r="W239" s="63" t="e">
        <f t="shared" si="79"/>
        <v>#VALUE!</v>
      </c>
      <c r="X239" s="67" t="e">
        <f t="shared" si="65"/>
        <v>#VALUE!</v>
      </c>
      <c r="Y239" s="63"/>
      <c r="Z239" s="121">
        <f t="shared" si="78"/>
        <v>-999</v>
      </c>
      <c r="AA239" s="121">
        <f t="shared" si="80"/>
        <v>-999</v>
      </c>
      <c r="AB239" s="121">
        <f t="shared" si="71"/>
        <v>-999</v>
      </c>
    </row>
    <row r="240" spans="2:28" x14ac:dyDescent="0.25">
      <c r="B240" s="57">
        <f>IFERROR('Daten Auswertung'!Y148,-999)</f>
        <v>-999</v>
      </c>
      <c r="C240" s="57">
        <f>IFERROR('Daten Auswertung'!Z148,-999)</f>
        <v>-999</v>
      </c>
      <c r="D240" s="58">
        <f>IFERROR('Daten Auswertung'!AA148,-999)</f>
        <v>-999</v>
      </c>
      <c r="E240" s="60" t="str">
        <f t="shared" si="67"/>
        <v/>
      </c>
      <c r="F240" s="146">
        <f t="shared" si="68"/>
        <v>0</v>
      </c>
      <c r="G240" s="96" t="e">
        <f t="shared" si="81"/>
        <v>#VALUE!</v>
      </c>
      <c r="I240" s="13">
        <f t="shared" si="60"/>
        <v>-999</v>
      </c>
      <c r="J240">
        <f t="shared" si="61"/>
        <v>-999</v>
      </c>
      <c r="K240" t="str">
        <f t="shared" si="72"/>
        <v/>
      </c>
      <c r="O240" s="66" t="e">
        <f t="shared" si="73"/>
        <v>#VALUE!</v>
      </c>
      <c r="P240" s="10" t="e">
        <f t="shared" si="74"/>
        <v>#VALUE!</v>
      </c>
      <c r="Q240" s="145">
        <f t="shared" si="75"/>
        <v>-999</v>
      </c>
      <c r="R240" t="e">
        <f t="shared" si="70"/>
        <v>#VALUE!</v>
      </c>
      <c r="S240" s="9" t="e">
        <f t="shared" si="62"/>
        <v>#VALUE!</v>
      </c>
      <c r="T240" s="114" t="e">
        <f t="shared" si="76"/>
        <v>#VALUE!</v>
      </c>
      <c r="U240" s="63" t="e">
        <f t="shared" si="77"/>
        <v>#VALUE!</v>
      </c>
      <c r="V240" s="113" t="e">
        <f t="shared" si="63"/>
        <v>#VALUE!</v>
      </c>
      <c r="W240" s="63" t="e">
        <f t="shared" si="79"/>
        <v>#VALUE!</v>
      </c>
      <c r="X240" s="67" t="e">
        <f t="shared" si="65"/>
        <v>#VALUE!</v>
      </c>
      <c r="Y240" s="63"/>
      <c r="Z240" s="121">
        <f t="shared" si="78"/>
        <v>-999</v>
      </c>
      <c r="AA240" s="121">
        <f t="shared" si="80"/>
        <v>-999</v>
      </c>
      <c r="AB240" s="121">
        <f t="shared" si="71"/>
        <v>-999</v>
      </c>
    </row>
    <row r="241" spans="2:28" x14ac:dyDescent="0.25">
      <c r="B241" s="57">
        <f>IFERROR('Daten Auswertung'!Y149,-999)</f>
        <v>-999</v>
      </c>
      <c r="C241" s="57">
        <f>IFERROR('Daten Auswertung'!Z149,-999)</f>
        <v>-999</v>
      </c>
      <c r="D241" s="58">
        <f>IFERROR('Daten Auswertung'!AA149,-999)</f>
        <v>-999</v>
      </c>
      <c r="E241" s="60" t="str">
        <f t="shared" si="67"/>
        <v/>
      </c>
      <c r="F241" s="146">
        <f t="shared" si="68"/>
        <v>0</v>
      </c>
      <c r="G241" s="96" t="e">
        <f t="shared" si="81"/>
        <v>#VALUE!</v>
      </c>
      <c r="I241" s="13">
        <f t="shared" si="60"/>
        <v>-999</v>
      </c>
      <c r="J241">
        <f t="shared" si="61"/>
        <v>-999</v>
      </c>
      <c r="K241" t="str">
        <f t="shared" si="72"/>
        <v/>
      </c>
      <c r="O241" s="66" t="e">
        <f t="shared" si="73"/>
        <v>#VALUE!</v>
      </c>
      <c r="P241" s="10" t="e">
        <f t="shared" si="74"/>
        <v>#VALUE!</v>
      </c>
      <c r="Q241" s="145">
        <f t="shared" si="75"/>
        <v>-999</v>
      </c>
      <c r="R241" t="e">
        <f t="shared" si="70"/>
        <v>#VALUE!</v>
      </c>
      <c r="S241" s="9" t="e">
        <f t="shared" si="62"/>
        <v>#VALUE!</v>
      </c>
      <c r="T241" s="114" t="e">
        <f t="shared" si="76"/>
        <v>#VALUE!</v>
      </c>
      <c r="U241" s="63" t="e">
        <f t="shared" si="77"/>
        <v>#VALUE!</v>
      </c>
      <c r="V241" s="113" t="e">
        <f t="shared" si="63"/>
        <v>#VALUE!</v>
      </c>
      <c r="W241" s="63" t="e">
        <f t="shared" si="79"/>
        <v>#VALUE!</v>
      </c>
      <c r="X241" s="67" t="e">
        <f t="shared" si="65"/>
        <v>#VALUE!</v>
      </c>
      <c r="Y241" s="63"/>
      <c r="Z241" s="121">
        <f t="shared" si="78"/>
        <v>-999</v>
      </c>
      <c r="AA241" s="121">
        <f t="shared" si="80"/>
        <v>-999</v>
      </c>
      <c r="AB241" s="121">
        <f t="shared" si="71"/>
        <v>-999</v>
      </c>
    </row>
    <row r="242" spans="2:28" x14ac:dyDescent="0.25">
      <c r="B242" s="57">
        <f>IFERROR('Daten Auswertung'!Y150,-999)</f>
        <v>-999</v>
      </c>
      <c r="C242" s="57">
        <f>IFERROR('Daten Auswertung'!Z150,-999)</f>
        <v>-999</v>
      </c>
      <c r="D242" s="58">
        <f>IFERROR('Daten Auswertung'!AA150,-999)</f>
        <v>-999</v>
      </c>
      <c r="E242" s="60" t="str">
        <f t="shared" si="67"/>
        <v/>
      </c>
      <c r="F242" s="146">
        <f t="shared" si="68"/>
        <v>0</v>
      </c>
      <c r="G242" s="96" t="e">
        <f t="shared" si="81"/>
        <v>#VALUE!</v>
      </c>
      <c r="I242" s="13">
        <f t="shared" si="60"/>
        <v>-999</v>
      </c>
      <c r="J242">
        <f t="shared" si="61"/>
        <v>-999</v>
      </c>
      <c r="K242" t="str">
        <f t="shared" si="72"/>
        <v/>
      </c>
      <c r="O242" s="66" t="e">
        <f t="shared" si="73"/>
        <v>#VALUE!</v>
      </c>
      <c r="P242" s="10" t="e">
        <f t="shared" si="74"/>
        <v>#VALUE!</v>
      </c>
      <c r="Q242" s="145">
        <f t="shared" si="75"/>
        <v>-999</v>
      </c>
      <c r="R242" t="e">
        <f t="shared" si="70"/>
        <v>#VALUE!</v>
      </c>
      <c r="S242" s="9" t="e">
        <f t="shared" si="62"/>
        <v>#VALUE!</v>
      </c>
      <c r="T242" s="114" t="e">
        <f t="shared" si="76"/>
        <v>#VALUE!</v>
      </c>
      <c r="U242" s="63" t="e">
        <f t="shared" si="77"/>
        <v>#VALUE!</v>
      </c>
      <c r="V242" s="113" t="e">
        <f t="shared" si="63"/>
        <v>#VALUE!</v>
      </c>
      <c r="W242" s="63" t="e">
        <f t="shared" si="79"/>
        <v>#VALUE!</v>
      </c>
      <c r="X242" s="67" t="e">
        <f t="shared" si="65"/>
        <v>#VALUE!</v>
      </c>
      <c r="Y242" s="63"/>
      <c r="Z242" s="121">
        <f t="shared" si="78"/>
        <v>-999</v>
      </c>
      <c r="AA242" s="121">
        <f t="shared" si="80"/>
        <v>-999</v>
      </c>
      <c r="AB242" s="121">
        <f t="shared" si="71"/>
        <v>-999</v>
      </c>
    </row>
    <row r="243" spans="2:28" x14ac:dyDescent="0.25">
      <c r="B243" s="57">
        <f>IFERROR('Daten Auswertung'!Y151,-999)</f>
        <v>-999</v>
      </c>
      <c r="C243" s="57">
        <f>IFERROR('Daten Auswertung'!Z151,-999)</f>
        <v>-999</v>
      </c>
      <c r="D243" s="58">
        <f>IFERROR('Daten Auswertung'!AA151,-999)</f>
        <v>-999</v>
      </c>
      <c r="E243" s="60" t="str">
        <f t="shared" si="67"/>
        <v/>
      </c>
      <c r="F243" s="146">
        <f t="shared" si="68"/>
        <v>0</v>
      </c>
      <c r="G243" s="96" t="e">
        <f t="shared" si="81"/>
        <v>#VALUE!</v>
      </c>
      <c r="I243" s="13">
        <f t="shared" si="60"/>
        <v>-999</v>
      </c>
      <c r="J243">
        <f t="shared" si="61"/>
        <v>-999</v>
      </c>
      <c r="K243" t="str">
        <f t="shared" si="72"/>
        <v/>
      </c>
      <c r="O243" s="66" t="e">
        <f t="shared" si="73"/>
        <v>#VALUE!</v>
      </c>
      <c r="P243" s="10" t="e">
        <f t="shared" si="74"/>
        <v>#VALUE!</v>
      </c>
      <c r="Q243" s="145">
        <f t="shared" si="75"/>
        <v>-999</v>
      </c>
      <c r="R243" t="e">
        <f t="shared" si="70"/>
        <v>#VALUE!</v>
      </c>
      <c r="S243" s="9" t="e">
        <f t="shared" si="62"/>
        <v>#VALUE!</v>
      </c>
      <c r="T243" s="114" t="e">
        <f t="shared" si="76"/>
        <v>#VALUE!</v>
      </c>
      <c r="U243" s="63" t="e">
        <f t="shared" si="77"/>
        <v>#VALUE!</v>
      </c>
      <c r="V243" s="113" t="e">
        <f t="shared" si="63"/>
        <v>#VALUE!</v>
      </c>
      <c r="W243" s="63" t="e">
        <f t="shared" si="79"/>
        <v>#VALUE!</v>
      </c>
      <c r="X243" s="67" t="e">
        <f t="shared" si="65"/>
        <v>#VALUE!</v>
      </c>
      <c r="Y243" s="63"/>
      <c r="Z243" s="121">
        <f t="shared" si="78"/>
        <v>-999</v>
      </c>
      <c r="AA243" s="121">
        <f t="shared" si="80"/>
        <v>-999</v>
      </c>
      <c r="AB243" s="121">
        <f t="shared" si="71"/>
        <v>-999</v>
      </c>
    </row>
    <row r="244" spans="2:28" x14ac:dyDescent="0.25">
      <c r="B244" s="57">
        <f>IFERROR('Daten Auswertung'!Y152,-999)</f>
        <v>-999</v>
      </c>
      <c r="C244" s="57">
        <f>IFERROR('Daten Auswertung'!Z152,-999)</f>
        <v>-999</v>
      </c>
      <c r="D244" s="58">
        <f>IFERROR('Daten Auswertung'!AA152,-999)</f>
        <v>-999</v>
      </c>
      <c r="E244" s="60" t="str">
        <f t="shared" si="67"/>
        <v/>
      </c>
      <c r="F244" s="146">
        <f t="shared" si="68"/>
        <v>0</v>
      </c>
      <c r="G244" s="96" t="e">
        <f t="shared" si="81"/>
        <v>#VALUE!</v>
      </c>
      <c r="I244" s="13">
        <f t="shared" si="60"/>
        <v>-999</v>
      </c>
      <c r="J244">
        <f t="shared" si="61"/>
        <v>-999</v>
      </c>
      <c r="K244" t="str">
        <f t="shared" si="72"/>
        <v/>
      </c>
      <c r="O244" s="66" t="e">
        <f t="shared" si="73"/>
        <v>#VALUE!</v>
      </c>
      <c r="P244" s="10" t="e">
        <f t="shared" si="74"/>
        <v>#VALUE!</v>
      </c>
      <c r="Q244" s="145">
        <f t="shared" si="75"/>
        <v>-999</v>
      </c>
      <c r="R244" t="e">
        <f t="shared" si="70"/>
        <v>#VALUE!</v>
      </c>
      <c r="S244" s="9" t="e">
        <f t="shared" si="62"/>
        <v>#VALUE!</v>
      </c>
      <c r="T244" s="114" t="e">
        <f t="shared" si="76"/>
        <v>#VALUE!</v>
      </c>
      <c r="U244" s="63" t="e">
        <f t="shared" si="77"/>
        <v>#VALUE!</v>
      </c>
      <c r="V244" s="113" t="e">
        <f t="shared" si="63"/>
        <v>#VALUE!</v>
      </c>
      <c r="W244" s="63" t="e">
        <f t="shared" si="79"/>
        <v>#VALUE!</v>
      </c>
      <c r="X244" s="67" t="e">
        <f t="shared" si="65"/>
        <v>#VALUE!</v>
      </c>
      <c r="Y244" s="63"/>
      <c r="Z244" s="121">
        <f t="shared" si="78"/>
        <v>-999</v>
      </c>
      <c r="AA244" s="121">
        <f t="shared" si="80"/>
        <v>-999</v>
      </c>
      <c r="AB244" s="121">
        <f t="shared" si="71"/>
        <v>-999</v>
      </c>
    </row>
    <row r="245" spans="2:28" x14ac:dyDescent="0.25">
      <c r="B245" s="57">
        <f>IFERROR('Daten Auswertung'!Y153,-999)</f>
        <v>-999</v>
      </c>
      <c r="C245" s="57">
        <f>IFERROR('Daten Auswertung'!Z153,-999)</f>
        <v>-999</v>
      </c>
      <c r="D245" s="58">
        <f>IFERROR('Daten Auswertung'!AA153,-999)</f>
        <v>-999</v>
      </c>
      <c r="E245" s="60" t="str">
        <f t="shared" si="67"/>
        <v/>
      </c>
      <c r="F245" s="146">
        <f t="shared" si="68"/>
        <v>0</v>
      </c>
      <c r="G245" s="96" t="e">
        <f t="shared" si="81"/>
        <v>#VALUE!</v>
      </c>
      <c r="I245" s="13">
        <f t="shared" si="60"/>
        <v>-999</v>
      </c>
      <c r="J245">
        <f t="shared" si="61"/>
        <v>-999</v>
      </c>
      <c r="K245" t="str">
        <f t="shared" si="72"/>
        <v/>
      </c>
      <c r="O245" s="66" t="e">
        <f t="shared" si="73"/>
        <v>#VALUE!</v>
      </c>
      <c r="P245" s="10" t="e">
        <f t="shared" si="74"/>
        <v>#VALUE!</v>
      </c>
      <c r="Q245" s="145">
        <f t="shared" si="75"/>
        <v>-999</v>
      </c>
      <c r="R245" t="e">
        <f t="shared" si="70"/>
        <v>#VALUE!</v>
      </c>
      <c r="S245" s="9" t="e">
        <f t="shared" si="62"/>
        <v>#VALUE!</v>
      </c>
      <c r="T245" s="114" t="e">
        <f t="shared" si="76"/>
        <v>#VALUE!</v>
      </c>
      <c r="U245" s="63" t="e">
        <f t="shared" si="77"/>
        <v>#VALUE!</v>
      </c>
      <c r="V245" s="113" t="e">
        <f t="shared" si="63"/>
        <v>#VALUE!</v>
      </c>
      <c r="W245" s="63" t="e">
        <f t="shared" si="79"/>
        <v>#VALUE!</v>
      </c>
      <c r="X245" s="67" t="e">
        <f t="shared" si="65"/>
        <v>#VALUE!</v>
      </c>
      <c r="Y245" s="63"/>
      <c r="Z245" s="121">
        <f t="shared" si="78"/>
        <v>-999</v>
      </c>
      <c r="AA245" s="121">
        <f t="shared" si="80"/>
        <v>-999</v>
      </c>
      <c r="AB245" s="121">
        <f t="shared" si="71"/>
        <v>-999</v>
      </c>
    </row>
    <row r="246" spans="2:28" x14ac:dyDescent="0.25">
      <c r="B246" s="57">
        <f>IFERROR('Daten Auswertung'!Y154,-999)</f>
        <v>-999</v>
      </c>
      <c r="C246" s="57">
        <f>IFERROR('Daten Auswertung'!Z154,-999)</f>
        <v>-999</v>
      </c>
      <c r="D246" s="58">
        <f>IFERROR('Daten Auswertung'!AA154,-999)</f>
        <v>-999</v>
      </c>
      <c r="E246" s="60" t="str">
        <f t="shared" si="67"/>
        <v/>
      </c>
      <c r="F246" s="146">
        <f t="shared" si="68"/>
        <v>0</v>
      </c>
      <c r="G246" s="96" t="e">
        <f t="shared" si="81"/>
        <v>#VALUE!</v>
      </c>
      <c r="I246" s="13">
        <f t="shared" si="60"/>
        <v>-999</v>
      </c>
      <c r="J246">
        <f t="shared" si="61"/>
        <v>-999</v>
      </c>
      <c r="K246" t="str">
        <f t="shared" si="72"/>
        <v/>
      </c>
      <c r="O246" s="66" t="e">
        <f t="shared" si="73"/>
        <v>#VALUE!</v>
      </c>
      <c r="P246" s="10" t="e">
        <f t="shared" si="74"/>
        <v>#VALUE!</v>
      </c>
      <c r="Q246" s="145">
        <f t="shared" si="75"/>
        <v>-999</v>
      </c>
      <c r="R246" t="e">
        <f t="shared" si="70"/>
        <v>#VALUE!</v>
      </c>
      <c r="S246" s="9" t="e">
        <f t="shared" si="62"/>
        <v>#VALUE!</v>
      </c>
      <c r="T246" s="114" t="e">
        <f t="shared" si="76"/>
        <v>#VALUE!</v>
      </c>
      <c r="U246" s="63" t="e">
        <f t="shared" si="77"/>
        <v>#VALUE!</v>
      </c>
      <c r="V246" s="113" t="e">
        <f t="shared" si="63"/>
        <v>#VALUE!</v>
      </c>
      <c r="W246" s="63" t="e">
        <f t="shared" si="79"/>
        <v>#VALUE!</v>
      </c>
      <c r="X246" s="67" t="e">
        <f t="shared" si="65"/>
        <v>#VALUE!</v>
      </c>
      <c r="Y246" s="63"/>
      <c r="Z246" s="121">
        <f t="shared" si="78"/>
        <v>-999</v>
      </c>
      <c r="AA246" s="121">
        <f t="shared" si="80"/>
        <v>-999</v>
      </c>
      <c r="AB246" s="121">
        <f t="shared" si="71"/>
        <v>-999</v>
      </c>
    </row>
    <row r="247" spans="2:28" x14ac:dyDescent="0.25">
      <c r="B247" s="57">
        <f>IFERROR('Daten Auswertung'!Y155,-999)</f>
        <v>-999</v>
      </c>
      <c r="C247" s="57">
        <f>IFERROR('Daten Auswertung'!Z155,-999)</f>
        <v>-999</v>
      </c>
      <c r="D247" s="58">
        <f>IFERROR('Daten Auswertung'!AA155,-999)</f>
        <v>-999</v>
      </c>
      <c r="E247" s="60" t="str">
        <f t="shared" si="67"/>
        <v/>
      </c>
      <c r="F247" s="146">
        <f t="shared" si="68"/>
        <v>0</v>
      </c>
      <c r="G247" s="96" t="e">
        <f t="shared" si="81"/>
        <v>#VALUE!</v>
      </c>
      <c r="I247" s="13">
        <f t="shared" si="60"/>
        <v>-999</v>
      </c>
      <c r="J247">
        <f t="shared" si="61"/>
        <v>-999</v>
      </c>
      <c r="K247" t="str">
        <f t="shared" si="72"/>
        <v/>
      </c>
      <c r="O247" s="66" t="e">
        <f t="shared" si="73"/>
        <v>#VALUE!</v>
      </c>
      <c r="P247" s="10" t="e">
        <f t="shared" si="74"/>
        <v>#VALUE!</v>
      </c>
      <c r="Q247" s="145">
        <f t="shared" si="75"/>
        <v>-999</v>
      </c>
      <c r="R247" t="e">
        <f t="shared" si="70"/>
        <v>#VALUE!</v>
      </c>
      <c r="S247" s="9" t="e">
        <f t="shared" si="62"/>
        <v>#VALUE!</v>
      </c>
      <c r="T247" s="114" t="e">
        <f t="shared" si="76"/>
        <v>#VALUE!</v>
      </c>
      <c r="U247" s="63" t="e">
        <f t="shared" si="77"/>
        <v>#VALUE!</v>
      </c>
      <c r="V247" s="113" t="e">
        <f t="shared" si="63"/>
        <v>#VALUE!</v>
      </c>
      <c r="W247" s="63" t="e">
        <f t="shared" si="79"/>
        <v>#VALUE!</v>
      </c>
      <c r="X247" s="67" t="e">
        <f t="shared" si="65"/>
        <v>#VALUE!</v>
      </c>
      <c r="Y247" s="63"/>
      <c r="Z247" s="121">
        <f t="shared" si="78"/>
        <v>-999</v>
      </c>
      <c r="AA247" s="121">
        <f t="shared" si="80"/>
        <v>-999</v>
      </c>
      <c r="AB247" s="121">
        <f t="shared" si="71"/>
        <v>-999</v>
      </c>
    </row>
    <row r="248" spans="2:28" x14ac:dyDescent="0.25">
      <c r="B248" s="57">
        <f>IFERROR('Daten Auswertung'!Y156,-999)</f>
        <v>-999</v>
      </c>
      <c r="C248" s="57">
        <f>IFERROR('Daten Auswertung'!Z156,-999)</f>
        <v>-999</v>
      </c>
      <c r="D248" s="58">
        <f>IFERROR('Daten Auswertung'!AA156,-999)</f>
        <v>-999</v>
      </c>
      <c r="E248" s="60" t="str">
        <f t="shared" si="67"/>
        <v/>
      </c>
      <c r="F248" s="146">
        <f t="shared" si="68"/>
        <v>0</v>
      </c>
      <c r="G248" s="96" t="e">
        <f t="shared" si="81"/>
        <v>#VALUE!</v>
      </c>
      <c r="I248" s="13">
        <f t="shared" si="60"/>
        <v>-999</v>
      </c>
      <c r="J248">
        <f t="shared" si="61"/>
        <v>-999</v>
      </c>
      <c r="K248" t="str">
        <f t="shared" ref="K248:K251" si="82">IF(J248="","",E248)</f>
        <v/>
      </c>
      <c r="O248" s="66" t="e">
        <f t="shared" si="73"/>
        <v>#VALUE!</v>
      </c>
      <c r="P248" s="10" t="e">
        <f t="shared" ref="P248:P251" si="83">$H$10^O248*6.11</f>
        <v>#VALUE!</v>
      </c>
      <c r="Q248" s="145">
        <f t="shared" si="75"/>
        <v>-999</v>
      </c>
      <c r="R248" t="e">
        <f t="shared" si="70"/>
        <v>#VALUE!</v>
      </c>
      <c r="S248" s="9" t="e">
        <f t="shared" si="62"/>
        <v>#VALUE!</v>
      </c>
      <c r="T248" s="114" t="e">
        <f t="shared" si="76"/>
        <v>#VALUE!</v>
      </c>
      <c r="U248" s="63" t="e">
        <f t="shared" si="77"/>
        <v>#VALUE!</v>
      </c>
      <c r="V248" s="113" t="e">
        <f t="shared" si="63"/>
        <v>#VALUE!</v>
      </c>
      <c r="W248" s="63" t="e">
        <f t="shared" si="79"/>
        <v>#VALUE!</v>
      </c>
      <c r="X248" s="67" t="e">
        <f t="shared" si="65"/>
        <v>#VALUE!</v>
      </c>
      <c r="Y248" s="63"/>
      <c r="Z248" s="121">
        <f t="shared" si="78"/>
        <v>-999</v>
      </c>
      <c r="AA248" s="121">
        <f t="shared" si="80"/>
        <v>-999</v>
      </c>
      <c r="AB248" s="121">
        <f t="shared" si="71"/>
        <v>-999</v>
      </c>
    </row>
    <row r="249" spans="2:28" x14ac:dyDescent="0.25">
      <c r="B249" s="57">
        <f>IFERROR('Daten Auswertung'!Y157,-999)</f>
        <v>-999</v>
      </c>
      <c r="C249" s="57">
        <f>IFERROR('Daten Auswertung'!Z157,-999)</f>
        <v>-999</v>
      </c>
      <c r="D249" s="58">
        <f>IFERROR('Daten Auswertung'!AA157,-999)</f>
        <v>-999</v>
      </c>
      <c r="E249" s="60" t="str">
        <f t="shared" si="67"/>
        <v/>
      </c>
      <c r="F249" s="146">
        <f t="shared" si="68"/>
        <v>0</v>
      </c>
      <c r="G249" s="96" t="e">
        <f t="shared" si="81"/>
        <v>#VALUE!</v>
      </c>
      <c r="I249" s="13">
        <f t="shared" ref="I249:I251" si="84">IF(B249&gt;$B$115,-999,B249)</f>
        <v>-999</v>
      </c>
      <c r="J249">
        <f t="shared" ref="J249:J251" si="85">IF(D249&gt;$D$115,-999,D249)</f>
        <v>-999</v>
      </c>
      <c r="K249" t="str">
        <f t="shared" si="82"/>
        <v/>
      </c>
      <c r="O249" s="66" t="e">
        <f t="shared" si="73"/>
        <v>#VALUE!</v>
      </c>
      <c r="P249" s="10" t="e">
        <f t="shared" si="83"/>
        <v>#VALUE!</v>
      </c>
      <c r="Q249" s="145">
        <f t="shared" si="75"/>
        <v>-999</v>
      </c>
      <c r="R249" t="e">
        <f t="shared" si="70"/>
        <v>#VALUE!</v>
      </c>
      <c r="S249" s="9" t="e">
        <f t="shared" ref="S249:S251" si="86">R249*1000</f>
        <v>#VALUE!</v>
      </c>
      <c r="T249" s="114" t="e">
        <f t="shared" si="76"/>
        <v>#VALUE!</v>
      </c>
      <c r="U249" s="63" t="e">
        <f t="shared" si="77"/>
        <v>#VALUE!</v>
      </c>
      <c r="V249" s="113" t="e">
        <f t="shared" ref="V249:V251" si="87">IF(U249="","",U249*1000)</f>
        <v>#VALUE!</v>
      </c>
      <c r="W249" s="63" t="e">
        <f t="shared" si="79"/>
        <v>#VALUE!</v>
      </c>
      <c r="X249" s="67" t="e">
        <f t="shared" ref="X249:X251" si="88">W249*1000</f>
        <v>#VALUE!</v>
      </c>
      <c r="Y249" s="63"/>
      <c r="Z249" s="121">
        <f t="shared" si="78"/>
        <v>-999</v>
      </c>
      <c r="AA249" s="121">
        <f t="shared" si="80"/>
        <v>-999</v>
      </c>
      <c r="AB249" s="121">
        <f t="shared" si="71"/>
        <v>-999</v>
      </c>
    </row>
    <row r="250" spans="2:28" x14ac:dyDescent="0.25">
      <c r="B250" s="57">
        <f>IFERROR('Daten Auswertung'!Y158,-999)</f>
        <v>-999</v>
      </c>
      <c r="C250" s="57">
        <f>IFERROR('Daten Auswertung'!Z158,-999)</f>
        <v>-999</v>
      </c>
      <c r="D250" s="58">
        <f>IFERROR('Daten Auswertung'!AA158,-999)</f>
        <v>-999</v>
      </c>
      <c r="E250" s="60" t="str">
        <f t="shared" ref="E250:E251" si="89">IF(D250&gt;-999,D250+273.15,"")</f>
        <v/>
      </c>
      <c r="F250" s="146">
        <f t="shared" ref="F250:F251" si="90">C250-C249</f>
        <v>0</v>
      </c>
      <c r="G250" s="96" t="e">
        <f t="shared" si="81"/>
        <v>#VALUE!</v>
      </c>
      <c r="I250" s="13">
        <f t="shared" si="84"/>
        <v>-999</v>
      </c>
      <c r="J250">
        <f t="shared" si="85"/>
        <v>-999</v>
      </c>
      <c r="K250" t="str">
        <f t="shared" si="82"/>
        <v/>
      </c>
      <c r="O250" s="66" t="e">
        <f t="shared" si="73"/>
        <v>#VALUE!</v>
      </c>
      <c r="P250" s="10" t="e">
        <f t="shared" si="83"/>
        <v>#VALUE!</v>
      </c>
      <c r="Q250" s="145">
        <f t="shared" si="75"/>
        <v>-999</v>
      </c>
      <c r="R250" t="e">
        <f t="shared" si="70"/>
        <v>#VALUE!</v>
      </c>
      <c r="S250" s="9" t="e">
        <f t="shared" si="86"/>
        <v>#VALUE!</v>
      </c>
      <c r="T250" s="114" t="e">
        <f t="shared" si="76"/>
        <v>#VALUE!</v>
      </c>
      <c r="U250" s="63" t="e">
        <f t="shared" si="77"/>
        <v>#VALUE!</v>
      </c>
      <c r="V250" s="113" t="e">
        <f t="shared" si="87"/>
        <v>#VALUE!</v>
      </c>
      <c r="W250" s="63" t="e">
        <f t="shared" si="79"/>
        <v>#VALUE!</v>
      </c>
      <c r="X250" s="67" t="e">
        <f t="shared" si="88"/>
        <v>#VALUE!</v>
      </c>
      <c r="Y250" s="63"/>
      <c r="Z250" s="121">
        <f t="shared" si="78"/>
        <v>-999</v>
      </c>
      <c r="AA250" s="121">
        <f t="shared" si="80"/>
        <v>-999</v>
      </c>
      <c r="AB250" s="121">
        <f t="shared" si="71"/>
        <v>-999</v>
      </c>
    </row>
    <row r="251" spans="2:28" x14ac:dyDescent="0.25">
      <c r="B251" s="57">
        <f>IFERROR('Daten Auswertung'!Y159,-999)</f>
        <v>-999</v>
      </c>
      <c r="C251" s="57">
        <f>IFERROR('Daten Auswertung'!Z159,-999)</f>
        <v>-999</v>
      </c>
      <c r="D251" s="58">
        <f>IFERROR('Daten Auswertung'!AA159,-999)</f>
        <v>-999</v>
      </c>
      <c r="E251" s="60" t="str">
        <f t="shared" si="89"/>
        <v/>
      </c>
      <c r="F251" s="146">
        <f t="shared" si="90"/>
        <v>0</v>
      </c>
      <c r="G251" s="96" t="e">
        <f t="shared" si="81"/>
        <v>#VALUE!</v>
      </c>
      <c r="I251" s="13">
        <f t="shared" si="84"/>
        <v>-999</v>
      </c>
      <c r="J251">
        <f t="shared" si="85"/>
        <v>-999</v>
      </c>
      <c r="K251" t="str">
        <f t="shared" si="82"/>
        <v/>
      </c>
      <c r="O251" s="66" t="e">
        <f t="shared" si="73"/>
        <v>#VALUE!</v>
      </c>
      <c r="P251" s="10" t="e">
        <f t="shared" si="83"/>
        <v>#VALUE!</v>
      </c>
      <c r="Q251" s="145">
        <f t="shared" si="75"/>
        <v>-999</v>
      </c>
      <c r="R251" t="e">
        <f t="shared" si="70"/>
        <v>#VALUE!</v>
      </c>
      <c r="S251" s="9" t="e">
        <f t="shared" si="86"/>
        <v>#VALUE!</v>
      </c>
      <c r="T251" s="114" t="e">
        <f>$H$17/(1+$H$22/$H$20*((R251-J252)/(E251-E252)))</f>
        <v>#VALUE!</v>
      </c>
      <c r="U251" s="63" t="e">
        <f t="shared" si="77"/>
        <v>#VALUE!</v>
      </c>
      <c r="V251" s="113" t="e">
        <f t="shared" si="87"/>
        <v>#VALUE!</v>
      </c>
      <c r="W251" s="63" t="e">
        <f t="shared" si="79"/>
        <v>#VALUE!</v>
      </c>
      <c r="X251" s="67" t="e">
        <f t="shared" si="88"/>
        <v>#VALUE!</v>
      </c>
      <c r="Y251" s="63"/>
      <c r="Z251" s="121">
        <f t="shared" si="78"/>
        <v>-999</v>
      </c>
      <c r="AA251" s="121">
        <f t="shared" si="80"/>
        <v>-999</v>
      </c>
      <c r="AB251" s="121">
        <f t="shared" si="71"/>
        <v>-999</v>
      </c>
    </row>
    <row r="252" spans="2:28" x14ac:dyDescent="0.25">
      <c r="B252" s="57"/>
    </row>
    <row r="253" spans="2:28" x14ac:dyDescent="0.25">
      <c r="B253" s="57"/>
    </row>
    <row r="254" spans="2:28" x14ac:dyDescent="0.25">
      <c r="B254" s="57"/>
    </row>
    <row r="255" spans="2:28" x14ac:dyDescent="0.25">
      <c r="B255" s="57"/>
    </row>
    <row r="256" spans="2:28" x14ac:dyDescent="0.25">
      <c r="B256" s="57"/>
    </row>
    <row r="257" spans="2:2" x14ac:dyDescent="0.25">
      <c r="B257" s="57"/>
    </row>
    <row r="258" spans="2:2" x14ac:dyDescent="0.25">
      <c r="B258" s="57"/>
    </row>
    <row r="259" spans="2:2" x14ac:dyDescent="0.25">
      <c r="B259" s="57"/>
    </row>
    <row r="260" spans="2:2" x14ac:dyDescent="0.25">
      <c r="B260" s="57"/>
    </row>
    <row r="261" spans="2:2" x14ac:dyDescent="0.25">
      <c r="B261" s="57"/>
    </row>
    <row r="262" spans="2:2" x14ac:dyDescent="0.25">
      <c r="B262" s="57"/>
    </row>
    <row r="263" spans="2:2" x14ac:dyDescent="0.25">
      <c r="B263" s="57"/>
    </row>
    <row r="264" spans="2:2" x14ac:dyDescent="0.25">
      <c r="B264" s="57"/>
    </row>
    <row r="265" spans="2:2" x14ac:dyDescent="0.25">
      <c r="B265" s="57"/>
    </row>
    <row r="266" spans="2:2" x14ac:dyDescent="0.25">
      <c r="B266" s="57"/>
    </row>
    <row r="267" spans="2:2" x14ac:dyDescent="0.25">
      <c r="B267" s="57"/>
    </row>
    <row r="268" spans="2:2" x14ac:dyDescent="0.25">
      <c r="B268" s="57"/>
    </row>
    <row r="269" spans="2:2" x14ac:dyDescent="0.25">
      <c r="B269" s="57"/>
    </row>
    <row r="270" spans="2:2" x14ac:dyDescent="0.25">
      <c r="B270" s="57"/>
    </row>
    <row r="271" spans="2:2" x14ac:dyDescent="0.25">
      <c r="B271" s="57"/>
    </row>
    <row r="272" spans="2:2" x14ac:dyDescent="0.25">
      <c r="B272" s="57"/>
    </row>
    <row r="273" spans="2:2" x14ac:dyDescent="0.25">
      <c r="B273" s="57"/>
    </row>
    <row r="274" spans="2:2" x14ac:dyDescent="0.25">
      <c r="B274" s="57"/>
    </row>
    <row r="275" spans="2:2" x14ac:dyDescent="0.25">
      <c r="B275" s="57"/>
    </row>
    <row r="276" spans="2:2" x14ac:dyDescent="0.25">
      <c r="B276" s="57"/>
    </row>
    <row r="277" spans="2:2" x14ac:dyDescent="0.25">
      <c r="B277" s="57"/>
    </row>
    <row r="278" spans="2:2" x14ac:dyDescent="0.25">
      <c r="B278" s="57"/>
    </row>
    <row r="279" spans="2:2" x14ac:dyDescent="0.25">
      <c r="B279" s="57"/>
    </row>
    <row r="280" spans="2:2" x14ac:dyDescent="0.25">
      <c r="B280" s="57"/>
    </row>
    <row r="281" spans="2:2" x14ac:dyDescent="0.25">
      <c r="B281" s="57"/>
    </row>
    <row r="282" spans="2:2" x14ac:dyDescent="0.25">
      <c r="B282" s="57"/>
    </row>
  </sheetData>
  <sheetProtection password="E3E2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85"/>
  <sheetViews>
    <sheetView zoomScaleNormal="100" workbookViewId="0">
      <selection activeCell="M14" sqref="M14"/>
    </sheetView>
  </sheetViews>
  <sheetFormatPr baseColWidth="10" defaultRowHeight="15" x14ac:dyDescent="0.25"/>
  <cols>
    <col min="12" max="12" width="11.42578125" customWidth="1"/>
  </cols>
  <sheetData>
    <row r="2" spans="2:20" ht="18" x14ac:dyDescent="0.3">
      <c r="B2" s="153" t="s">
        <v>168</v>
      </c>
      <c r="F2" s="14"/>
      <c r="G2" s="14"/>
      <c r="H2" s="14"/>
    </row>
    <row r="3" spans="2:20" ht="18.75" x14ac:dyDescent="0.35">
      <c r="B3" s="151" t="s">
        <v>160</v>
      </c>
      <c r="C3" s="152"/>
      <c r="D3" s="152"/>
      <c r="E3" s="152"/>
      <c r="F3" s="152"/>
      <c r="G3" s="14"/>
      <c r="H3" s="14"/>
      <c r="T3" s="68"/>
    </row>
    <row r="4" spans="2:20" ht="15.75" x14ac:dyDescent="0.25">
      <c r="B4" s="38"/>
      <c r="C4" s="38"/>
      <c r="D4" s="38"/>
      <c r="E4" s="152"/>
      <c r="F4" s="152"/>
      <c r="G4" s="14"/>
      <c r="H4" s="14"/>
    </row>
    <row r="5" spans="2:20" ht="19.5" x14ac:dyDescent="0.35">
      <c r="B5" s="151" t="s">
        <v>161</v>
      </c>
      <c r="C5" s="152"/>
      <c r="D5" s="152"/>
      <c r="E5" s="152"/>
      <c r="F5" s="152"/>
      <c r="I5" s="149"/>
      <c r="J5" s="149"/>
      <c r="K5" s="149"/>
      <c r="L5" s="50"/>
      <c r="T5" s="24"/>
    </row>
    <row r="6" spans="2:20" ht="19.5" x14ac:dyDescent="0.35">
      <c r="B6" s="151" t="s">
        <v>162</v>
      </c>
      <c r="C6" s="152"/>
      <c r="D6" s="152"/>
      <c r="E6" s="152"/>
      <c r="F6" s="152"/>
      <c r="G6" s="14"/>
      <c r="I6" s="149"/>
      <c r="J6" s="149"/>
      <c r="K6" s="149"/>
      <c r="L6" s="50"/>
      <c r="T6" s="24"/>
    </row>
    <row r="7" spans="2:20" ht="19.5" x14ac:dyDescent="0.35">
      <c r="B7" s="151" t="s">
        <v>182</v>
      </c>
      <c r="C7" s="152"/>
      <c r="D7" s="152"/>
      <c r="E7" s="152"/>
      <c r="F7" s="152"/>
      <c r="G7" s="14"/>
      <c r="I7" s="149"/>
      <c r="J7" s="149"/>
      <c r="K7" s="149"/>
      <c r="L7" s="50"/>
      <c r="T7" s="24"/>
    </row>
    <row r="8" spans="2:20" ht="19.5" x14ac:dyDescent="0.35">
      <c r="B8" s="151" t="s">
        <v>153</v>
      </c>
      <c r="C8" s="152"/>
      <c r="D8" s="152"/>
      <c r="E8" s="152"/>
      <c r="F8" s="152"/>
      <c r="G8" s="14"/>
      <c r="I8" s="149"/>
      <c r="J8" t="s">
        <v>169</v>
      </c>
      <c r="L8" s="13"/>
      <c r="M8" s="13">
        <v>2453000</v>
      </c>
      <c r="N8" t="s">
        <v>172</v>
      </c>
      <c r="T8" s="24"/>
    </row>
    <row r="9" spans="2:20" ht="18" x14ac:dyDescent="0.35">
      <c r="B9" s="152"/>
      <c r="C9" s="152"/>
      <c r="D9" s="152"/>
      <c r="E9" s="152"/>
      <c r="F9" s="152"/>
      <c r="G9" s="14"/>
      <c r="H9" s="14"/>
      <c r="J9" t="s">
        <v>170</v>
      </c>
      <c r="M9">
        <v>461</v>
      </c>
      <c r="N9" t="s">
        <v>173</v>
      </c>
      <c r="T9" s="24"/>
    </row>
    <row r="10" spans="2:20" ht="15.75" x14ac:dyDescent="0.25">
      <c r="B10" s="151" t="s">
        <v>154</v>
      </c>
      <c r="C10" s="151"/>
      <c r="D10" s="151"/>
      <c r="E10" s="151"/>
      <c r="F10" s="151"/>
      <c r="G10" s="150"/>
      <c r="H10" s="150"/>
      <c r="J10" t="s">
        <v>87</v>
      </c>
      <c r="M10">
        <v>2.71828</v>
      </c>
    </row>
    <row r="11" spans="2:20" ht="18.75" x14ac:dyDescent="0.35">
      <c r="B11" s="151" t="s">
        <v>163</v>
      </c>
      <c r="C11" s="151"/>
      <c r="D11" s="151"/>
      <c r="E11" s="151"/>
      <c r="F11" s="151"/>
      <c r="G11" s="150"/>
      <c r="H11" s="150"/>
      <c r="T11" s="24"/>
    </row>
    <row r="12" spans="2:20" ht="18.75" x14ac:dyDescent="0.35">
      <c r="B12" s="151" t="s">
        <v>164</v>
      </c>
      <c r="C12" s="151"/>
      <c r="D12" s="151"/>
      <c r="E12" s="151"/>
      <c r="F12" s="151"/>
      <c r="G12" s="150"/>
      <c r="H12" s="150"/>
      <c r="J12" t="s">
        <v>100</v>
      </c>
      <c r="M12" s="196">
        <v>20</v>
      </c>
    </row>
    <row r="13" spans="2:20" ht="18.75" x14ac:dyDescent="0.35">
      <c r="B13" s="151" t="s">
        <v>165</v>
      </c>
      <c r="C13" s="151"/>
      <c r="D13" s="151"/>
      <c r="E13" s="151"/>
      <c r="F13" s="151"/>
      <c r="G13" s="150"/>
      <c r="H13" s="150"/>
      <c r="J13" t="s">
        <v>101</v>
      </c>
      <c r="M13">
        <f>M12+273.15</f>
        <v>293.14999999999998</v>
      </c>
      <c r="T13" s="24"/>
    </row>
    <row r="14" spans="2:20" ht="18.75" x14ac:dyDescent="0.35">
      <c r="B14" s="151" t="s">
        <v>166</v>
      </c>
      <c r="C14" s="151"/>
      <c r="D14" s="151"/>
      <c r="E14" s="151"/>
      <c r="F14" s="151"/>
      <c r="G14" s="150"/>
      <c r="H14" s="150"/>
      <c r="J14" t="s">
        <v>102</v>
      </c>
      <c r="M14" s="196">
        <v>1000</v>
      </c>
    </row>
    <row r="15" spans="2:20" ht="18.75" x14ac:dyDescent="0.35">
      <c r="B15" s="151" t="s">
        <v>167</v>
      </c>
      <c r="C15" s="151"/>
      <c r="D15" s="151"/>
      <c r="E15" s="151"/>
      <c r="F15" s="151"/>
      <c r="G15" s="150"/>
      <c r="H15" s="150"/>
      <c r="T15" s="24"/>
    </row>
    <row r="16" spans="2:20" ht="21" x14ac:dyDescent="0.35">
      <c r="B16" s="49"/>
      <c r="C16" s="49"/>
      <c r="D16" s="49"/>
      <c r="E16" s="49"/>
      <c r="F16" s="49"/>
      <c r="G16" s="49"/>
      <c r="H16" s="14"/>
      <c r="M16">
        <f>M8/M9*(1/273.15-1/M13)</f>
        <v>1.3290322363689728</v>
      </c>
      <c r="T16" s="24"/>
    </row>
    <row r="17" spans="2:45" ht="18" x14ac:dyDescent="0.35">
      <c r="B17" t="s">
        <v>158</v>
      </c>
      <c r="D17" s="70"/>
      <c r="T17" s="24"/>
    </row>
    <row r="18" spans="2:45" x14ac:dyDescent="0.25">
      <c r="J18" t="s">
        <v>147</v>
      </c>
      <c r="M18" s="69">
        <f>M10^M16*6.11</f>
        <v>23.079807835229758</v>
      </c>
      <c r="T18" s="24"/>
    </row>
    <row r="19" spans="2:45" ht="18.75" x14ac:dyDescent="0.35">
      <c r="B19" s="38" t="s">
        <v>159</v>
      </c>
      <c r="C19" s="38"/>
      <c r="T19" s="24"/>
    </row>
    <row r="20" spans="2:45" x14ac:dyDescent="0.25">
      <c r="T20" s="24"/>
    </row>
    <row r="21" spans="2:45" ht="15.75" x14ac:dyDescent="0.25">
      <c r="B21" s="151" t="s">
        <v>155</v>
      </c>
      <c r="C21" s="151"/>
      <c r="D21" s="151"/>
      <c r="E21" s="151"/>
      <c r="N21" s="38"/>
    </row>
    <row r="22" spans="2:45" ht="15.75" x14ac:dyDescent="0.25">
      <c r="B22" s="151" t="s">
        <v>156</v>
      </c>
      <c r="C22" s="151"/>
      <c r="D22" s="151"/>
      <c r="E22" s="151"/>
      <c r="J22" t="s">
        <v>171</v>
      </c>
      <c r="M22" s="71">
        <f>0.622*M18/(M14-M18)</f>
        <v>1.4694793483285526E-2</v>
      </c>
      <c r="N22" s="38" t="s">
        <v>174</v>
      </c>
    </row>
    <row r="23" spans="2:45" ht="15.75" x14ac:dyDescent="0.25">
      <c r="B23" s="151" t="s">
        <v>157</v>
      </c>
      <c r="C23" s="151"/>
      <c r="D23" s="151"/>
      <c r="E23" s="151"/>
      <c r="N23" s="38"/>
    </row>
    <row r="24" spans="2:45" x14ac:dyDescent="0.25">
      <c r="J24" t="s">
        <v>105</v>
      </c>
      <c r="M24" s="51">
        <f>M22*1000</f>
        <v>14.694793483285526</v>
      </c>
      <c r="N24" t="s">
        <v>175</v>
      </c>
    </row>
    <row r="26" spans="2:45" ht="21" x14ac:dyDescent="0.35">
      <c r="B26" s="7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AS26" t="s">
        <v>179</v>
      </c>
    </row>
    <row r="27" spans="2:45" ht="21" x14ac:dyDescent="0.35">
      <c r="B27" s="7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AS27" t="s">
        <v>318</v>
      </c>
    </row>
    <row r="28" spans="2:45" ht="21" x14ac:dyDescent="0.35">
      <c r="B28" s="7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2:45" ht="21" x14ac:dyDescent="0.35">
      <c r="B29" s="154" t="s">
        <v>177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T29" t="s">
        <v>176</v>
      </c>
    </row>
    <row r="31" spans="2:45" x14ac:dyDescent="0.25">
      <c r="I31" t="s">
        <v>10</v>
      </c>
      <c r="K31" t="s">
        <v>106</v>
      </c>
      <c r="P31" t="s">
        <v>2</v>
      </c>
    </row>
    <row r="32" spans="2:45" ht="18" x14ac:dyDescent="0.35">
      <c r="B32" t="s">
        <v>178</v>
      </c>
      <c r="E32" s="196">
        <v>10</v>
      </c>
      <c r="G32" s="75">
        <f>E32/1000</f>
        <v>0.01</v>
      </c>
      <c r="I32" s="196">
        <v>1000</v>
      </c>
      <c r="K32" s="9">
        <f>$G$32*I32/(0.622+$G$32)</f>
        <v>15.822784810126581</v>
      </c>
      <c r="M32">
        <f t="shared" ref="M32:M52" si="0">LN(K32/6.11)</f>
        <v>0.95152420464582121</v>
      </c>
      <c r="O32" s="9">
        <f t="shared" ref="O32:O52" si="1">-($M$8/$M$9)/(M32-($M$8/$M$9*1/273.15))</f>
        <v>287.1773151112933</v>
      </c>
      <c r="P32" s="76">
        <f>O32-273.15</f>
        <v>14.027315111293319</v>
      </c>
      <c r="T32" t="s">
        <v>169</v>
      </c>
      <c r="U32" s="13">
        <v>2453000</v>
      </c>
      <c r="V32" s="13">
        <v>2453000</v>
      </c>
    </row>
    <row r="33" spans="7:21" ht="18" x14ac:dyDescent="0.35">
      <c r="G33" s="75">
        <f>$G$32</f>
        <v>0.01</v>
      </c>
      <c r="I33">
        <f>I32-50</f>
        <v>950</v>
      </c>
      <c r="K33" s="9">
        <f>$G$32*I33/(0.622+$G$32)</f>
        <v>15.031645569620252</v>
      </c>
      <c r="M33">
        <f t="shared" si="0"/>
        <v>0.90023091025827073</v>
      </c>
      <c r="O33" s="9">
        <f t="shared" si="1"/>
        <v>286.38451512660788</v>
      </c>
      <c r="P33" s="76">
        <f t="shared" ref="P33:P52" si="2">O33-273.15</f>
        <v>13.234515126607903</v>
      </c>
      <c r="T33" t="s">
        <v>170</v>
      </c>
      <c r="U33">
        <v>461</v>
      </c>
    </row>
    <row r="34" spans="7:21" x14ac:dyDescent="0.25">
      <c r="G34" s="75">
        <f t="shared" ref="G34" si="3">E34/1000</f>
        <v>0</v>
      </c>
      <c r="I34">
        <f>I33-50</f>
        <v>900</v>
      </c>
      <c r="K34" s="9">
        <f t="shared" ref="K34:K52" si="4">$G$32*I34/(0.622+$G$32)</f>
        <v>14.240506329113924</v>
      </c>
      <c r="M34">
        <f t="shared" si="0"/>
        <v>0.84616368898799499</v>
      </c>
      <c r="O34" s="9">
        <f t="shared" si="1"/>
        <v>285.55356578744971</v>
      </c>
      <c r="P34" s="76">
        <f t="shared" si="2"/>
        <v>12.403565787449736</v>
      </c>
      <c r="T34" t="s">
        <v>87</v>
      </c>
      <c r="U34">
        <v>2.71828</v>
      </c>
    </row>
    <row r="35" spans="7:21" x14ac:dyDescent="0.25">
      <c r="G35" s="75">
        <f t="shared" ref="G35" si="5">$G$32</f>
        <v>0.01</v>
      </c>
      <c r="I35">
        <f t="shared" ref="I35:I51" si="6">I34-50</f>
        <v>850</v>
      </c>
      <c r="K35" s="9">
        <f t="shared" si="4"/>
        <v>13.449367088607595</v>
      </c>
      <c r="M35">
        <f t="shared" si="0"/>
        <v>0.78900527514804641</v>
      </c>
      <c r="O35" s="9">
        <f t="shared" si="1"/>
        <v>284.6803358771989</v>
      </c>
      <c r="P35" s="76">
        <f t="shared" si="2"/>
        <v>11.530335877198922</v>
      </c>
    </row>
    <row r="36" spans="7:21" x14ac:dyDescent="0.25">
      <c r="G36" s="75">
        <f t="shared" ref="G36" si="7">E36/1000</f>
        <v>0</v>
      </c>
      <c r="I36">
        <f t="shared" si="6"/>
        <v>800</v>
      </c>
      <c r="K36" s="9">
        <f t="shared" si="4"/>
        <v>12.658227848101266</v>
      </c>
      <c r="M36">
        <f t="shared" si="0"/>
        <v>0.72838065333161151</v>
      </c>
      <c r="O36" s="9">
        <f t="shared" si="1"/>
        <v>283.75996892267415</v>
      </c>
      <c r="P36" s="76">
        <f t="shared" si="2"/>
        <v>10.60996892267417</v>
      </c>
      <c r="T36" t="s">
        <v>100</v>
      </c>
      <c r="U36" s="28">
        <f>'Eingabe Diagramme'!Z126</f>
        <v>25</v>
      </c>
    </row>
    <row r="37" spans="7:21" x14ac:dyDescent="0.25">
      <c r="G37" s="75">
        <f t="shared" ref="G37" si="8">$G$32</f>
        <v>0.01</v>
      </c>
      <c r="I37">
        <f t="shared" si="6"/>
        <v>750</v>
      </c>
      <c r="K37" s="9">
        <f t="shared" si="4"/>
        <v>11.867088607594937</v>
      </c>
      <c r="M37">
        <f t="shared" si="0"/>
        <v>0.66384213219404042</v>
      </c>
      <c r="O37" s="9">
        <f t="shared" si="1"/>
        <v>282.78670080764431</v>
      </c>
      <c r="P37" s="76">
        <f t="shared" si="2"/>
        <v>9.6367008076443312</v>
      </c>
      <c r="T37" t="s">
        <v>101</v>
      </c>
      <c r="U37">
        <f>U36+273.15</f>
        <v>298.14999999999998</v>
      </c>
    </row>
    <row r="38" spans="7:21" x14ac:dyDescent="0.25">
      <c r="G38" s="75">
        <f t="shared" ref="G38" si="9">E38/1000</f>
        <v>0</v>
      </c>
      <c r="I38">
        <f t="shared" si="6"/>
        <v>700</v>
      </c>
      <c r="K38" s="9">
        <f t="shared" si="4"/>
        <v>11.075949367088608</v>
      </c>
      <c r="M38">
        <f t="shared" si="0"/>
        <v>0.59484926070708899</v>
      </c>
      <c r="O38" s="9">
        <f t="shared" si="1"/>
        <v>281.75361575701493</v>
      </c>
      <c r="P38" s="76">
        <f t="shared" si="2"/>
        <v>8.6036157570149498</v>
      </c>
      <c r="T38" t="s">
        <v>102</v>
      </c>
      <c r="U38" s="28">
        <f>'Eingabe Diagramme'!Z128</f>
        <v>1010</v>
      </c>
    </row>
    <row r="39" spans="7:21" x14ac:dyDescent="0.25">
      <c r="G39" s="75">
        <f t="shared" ref="G39" si="10">$G$32</f>
        <v>0.01</v>
      </c>
      <c r="I39">
        <f t="shared" si="6"/>
        <v>650</v>
      </c>
      <c r="K39" s="9">
        <f t="shared" si="4"/>
        <v>10.284810126582279</v>
      </c>
      <c r="M39">
        <f t="shared" si="0"/>
        <v>0.5207412885533671</v>
      </c>
      <c r="O39" s="9">
        <f t="shared" si="1"/>
        <v>280.65231374695793</v>
      </c>
      <c r="P39" s="76">
        <f t="shared" si="2"/>
        <v>7.5023137469579524</v>
      </c>
    </row>
    <row r="40" spans="7:21" x14ac:dyDescent="0.25">
      <c r="G40" s="75">
        <f t="shared" ref="G40" si="11">E40/1000</f>
        <v>0</v>
      </c>
      <c r="I40">
        <f t="shared" si="6"/>
        <v>600</v>
      </c>
      <c r="K40" s="9">
        <f t="shared" si="4"/>
        <v>9.4936708860759484</v>
      </c>
      <c r="M40">
        <f t="shared" si="0"/>
        <v>0.44069858087983044</v>
      </c>
      <c r="O40" s="9">
        <f t="shared" si="1"/>
        <v>279.47244750890468</v>
      </c>
      <c r="P40" s="76">
        <f t="shared" si="2"/>
        <v>6.3224475089047019</v>
      </c>
      <c r="U40">
        <f>U32/U33*(1/273.15-1/U37)</f>
        <v>1.6334303206924554</v>
      </c>
    </row>
    <row r="41" spans="7:21" x14ac:dyDescent="0.25">
      <c r="G41" s="75">
        <f t="shared" ref="G41" si="12">$G$32</f>
        <v>0.01</v>
      </c>
      <c r="I41">
        <f t="shared" si="6"/>
        <v>550</v>
      </c>
      <c r="K41" s="9">
        <f t="shared" si="4"/>
        <v>8.7025316455696196</v>
      </c>
      <c r="M41">
        <f t="shared" si="0"/>
        <v>0.3536872038902007</v>
      </c>
      <c r="O41" s="9">
        <f t="shared" si="1"/>
        <v>278.20106216453308</v>
      </c>
      <c r="P41" s="76">
        <f t="shared" si="2"/>
        <v>5.0510621645331071</v>
      </c>
    </row>
    <row r="42" spans="7:21" x14ac:dyDescent="0.25">
      <c r="G42" s="75">
        <f t="shared" ref="G42" si="13">E42/1000</f>
        <v>0</v>
      </c>
      <c r="I42">
        <f t="shared" si="6"/>
        <v>500</v>
      </c>
      <c r="K42" s="9">
        <f t="shared" si="4"/>
        <v>7.9113924050632907</v>
      </c>
      <c r="M42">
        <f t="shared" si="0"/>
        <v>0.25837702408587587</v>
      </c>
      <c r="O42" s="9">
        <f t="shared" si="1"/>
        <v>276.82162645053495</v>
      </c>
      <c r="P42" s="76">
        <f t="shared" si="2"/>
        <v>3.6716264505349727</v>
      </c>
      <c r="T42" t="s">
        <v>103</v>
      </c>
      <c r="U42" s="69">
        <f>U34^U40*6.11</f>
        <v>31.291797269857867</v>
      </c>
    </row>
    <row r="43" spans="7:21" x14ac:dyDescent="0.25">
      <c r="G43" s="75">
        <f t="shared" ref="G43" si="14">$G$32</f>
        <v>0.01</v>
      </c>
      <c r="I43">
        <f t="shared" si="6"/>
        <v>450</v>
      </c>
      <c r="K43" s="9">
        <f t="shared" si="4"/>
        <v>7.1202531645569618</v>
      </c>
      <c r="M43">
        <f t="shared" si="0"/>
        <v>0.15301650842804962</v>
      </c>
      <c r="O43" s="9">
        <f t="shared" si="1"/>
        <v>275.31256365831666</v>
      </c>
      <c r="P43" s="76">
        <f t="shared" si="2"/>
        <v>2.1625636583166852</v>
      </c>
    </row>
    <row r="44" spans="7:21" x14ac:dyDescent="0.25">
      <c r="G44" s="75">
        <f t="shared" ref="G44" si="15">E44/1000</f>
        <v>0</v>
      </c>
      <c r="I44">
        <f t="shared" si="6"/>
        <v>400</v>
      </c>
      <c r="K44" s="9">
        <f t="shared" si="4"/>
        <v>6.3291139240506329</v>
      </c>
      <c r="M44">
        <f t="shared" si="0"/>
        <v>3.5233472771666219E-2</v>
      </c>
      <c r="O44" s="9">
        <f t="shared" si="1"/>
        <v>273.64493417886638</v>
      </c>
      <c r="P44" s="76">
        <f t="shared" si="2"/>
        <v>0.49493417886640145</v>
      </c>
    </row>
    <row r="45" spans="7:21" x14ac:dyDescent="0.25">
      <c r="G45" s="75">
        <f t="shared" ref="G45" si="16">$G$32</f>
        <v>0.01</v>
      </c>
      <c r="I45">
        <f t="shared" si="6"/>
        <v>350</v>
      </c>
      <c r="K45" s="9">
        <f t="shared" si="4"/>
        <v>5.537974683544304</v>
      </c>
      <c r="M45">
        <f t="shared" si="0"/>
        <v>-9.8297919852856339E-2</v>
      </c>
      <c r="O45" s="9">
        <f t="shared" si="1"/>
        <v>271.77859993215839</v>
      </c>
      <c r="P45" s="76">
        <f t="shared" si="2"/>
        <v>-1.3714000678415914</v>
      </c>
    </row>
    <row r="46" spans="7:21" x14ac:dyDescent="0.25">
      <c r="G46" s="75">
        <f t="shared" ref="G46" si="17">E46/1000</f>
        <v>0</v>
      </c>
      <c r="I46">
        <f t="shared" si="6"/>
        <v>300</v>
      </c>
      <c r="K46" s="9">
        <f t="shared" si="4"/>
        <v>4.7468354430379742</v>
      </c>
      <c r="M46">
        <f t="shared" si="0"/>
        <v>-0.25244859968011485</v>
      </c>
      <c r="O46" s="9">
        <f t="shared" si="1"/>
        <v>269.65548581291483</v>
      </c>
      <c r="P46" s="76">
        <f t="shared" si="2"/>
        <v>-3.4945141870851444</v>
      </c>
      <c r="T46" t="s">
        <v>104</v>
      </c>
      <c r="U46" s="71">
        <f>0.622*U42/(U38-U42)</f>
        <v>1.9886926305059522E-2</v>
      </c>
    </row>
    <row r="47" spans="7:21" x14ac:dyDescent="0.25">
      <c r="G47" s="75">
        <f t="shared" ref="G47" si="18">$G$32</f>
        <v>0.01</v>
      </c>
      <c r="I47">
        <f t="shared" si="6"/>
        <v>250</v>
      </c>
      <c r="K47" s="9">
        <f t="shared" si="4"/>
        <v>3.9556962025316453</v>
      </c>
      <c r="M47">
        <f t="shared" si="0"/>
        <v>-0.43477015647406941</v>
      </c>
      <c r="O47" s="9">
        <f t="shared" si="1"/>
        <v>267.18680092952241</v>
      </c>
      <c r="P47" s="76">
        <f t="shared" si="2"/>
        <v>-5.9631990704775717</v>
      </c>
    </row>
    <row r="48" spans="7:21" x14ac:dyDescent="0.25">
      <c r="G48" s="75">
        <f t="shared" ref="G48" si="19">E48/1000</f>
        <v>0</v>
      </c>
      <c r="I48">
        <f t="shared" si="6"/>
        <v>200</v>
      </c>
      <c r="K48" s="9">
        <f t="shared" si="4"/>
        <v>3.1645569620253164</v>
      </c>
      <c r="M48">
        <f t="shared" si="0"/>
        <v>-0.65791370778827907</v>
      </c>
      <c r="O48" s="9">
        <f t="shared" si="1"/>
        <v>264.2262085909374</v>
      </c>
      <c r="P48" s="76">
        <f t="shared" si="2"/>
        <v>-8.9237914090625736</v>
      </c>
      <c r="T48" t="s">
        <v>105</v>
      </c>
      <c r="U48" s="51">
        <f>U46*1000</f>
        <v>19.886926305059522</v>
      </c>
    </row>
    <row r="49" spans="3:55" x14ac:dyDescent="0.25">
      <c r="G49" s="75">
        <f t="shared" ref="G49" si="20">$G$32</f>
        <v>0.01</v>
      </c>
      <c r="I49">
        <f t="shared" si="6"/>
        <v>150</v>
      </c>
      <c r="K49" s="9">
        <f t="shared" si="4"/>
        <v>2.3734177215189871</v>
      </c>
      <c r="M49">
        <f t="shared" si="0"/>
        <v>-0.94559578024006019</v>
      </c>
      <c r="O49" s="9">
        <f t="shared" si="1"/>
        <v>260.50479625737705</v>
      </c>
      <c r="P49" s="76">
        <f t="shared" si="2"/>
        <v>-12.645203742622925</v>
      </c>
    </row>
    <row r="50" spans="3:55" x14ac:dyDescent="0.25">
      <c r="G50" s="75">
        <f t="shared" ref="G50" si="21">E50/1000</f>
        <v>0</v>
      </c>
      <c r="I50">
        <f t="shared" si="6"/>
        <v>100</v>
      </c>
      <c r="K50" s="9">
        <f t="shared" si="4"/>
        <v>1.5822784810126582</v>
      </c>
      <c r="M50">
        <f t="shared" si="0"/>
        <v>-1.3510608883482245</v>
      </c>
      <c r="O50" s="9">
        <f t="shared" si="1"/>
        <v>255.43428470389642</v>
      </c>
      <c r="P50" s="76">
        <f t="shared" si="2"/>
        <v>-17.715715296103554</v>
      </c>
    </row>
    <row r="51" spans="3:55" x14ac:dyDescent="0.25">
      <c r="G51" s="75">
        <f t="shared" ref="G51" si="22">$G$32</f>
        <v>0.01</v>
      </c>
      <c r="I51">
        <f t="shared" si="6"/>
        <v>50</v>
      </c>
      <c r="K51" s="9">
        <f t="shared" si="4"/>
        <v>0.79113924050632911</v>
      </c>
      <c r="M51">
        <f t="shared" si="0"/>
        <v>-2.0442080689081696</v>
      </c>
      <c r="O51" s="9">
        <f t="shared" si="1"/>
        <v>247.2086083765611</v>
      </c>
      <c r="P51" s="76">
        <f t="shared" si="2"/>
        <v>-25.941391623438875</v>
      </c>
    </row>
    <row r="52" spans="3:55" x14ac:dyDescent="0.25">
      <c r="G52" s="75">
        <f t="shared" ref="G52" si="23">E52/1000</f>
        <v>0</v>
      </c>
      <c r="I52" s="10">
        <f>I51-50+0.001</f>
        <v>1E-3</v>
      </c>
      <c r="K52" s="9">
        <f t="shared" si="4"/>
        <v>1.5822784810126583E-5</v>
      </c>
      <c r="M52">
        <f t="shared" si="0"/>
        <v>-12.863986353318452</v>
      </c>
      <c r="O52" s="9">
        <f t="shared" si="1"/>
        <v>164.51260667797996</v>
      </c>
      <c r="P52" s="9">
        <f t="shared" si="2"/>
        <v>-108.63739332202002</v>
      </c>
    </row>
    <row r="56" spans="3:55" x14ac:dyDescent="0.25">
      <c r="AS56" s="56"/>
    </row>
    <row r="61" spans="3:55" ht="28.5" x14ac:dyDescent="0.45">
      <c r="C61" s="77" t="s">
        <v>107</v>
      </c>
      <c r="L61" s="18" t="s">
        <v>114</v>
      </c>
      <c r="N61" s="81">
        <f>U36</f>
        <v>25</v>
      </c>
      <c r="O61" s="18"/>
      <c r="Q61" s="77" t="s">
        <v>108</v>
      </c>
      <c r="AD61" s="77" t="s">
        <v>109</v>
      </c>
      <c r="AR61" s="77" t="s">
        <v>63</v>
      </c>
    </row>
    <row r="62" spans="3:55" x14ac:dyDescent="0.25">
      <c r="D62">
        <v>0.1</v>
      </c>
      <c r="E62">
        <v>0.2</v>
      </c>
      <c r="F62">
        <v>0.6</v>
      </c>
      <c r="G62">
        <v>1</v>
      </c>
      <c r="H62">
        <v>2</v>
      </c>
      <c r="I62">
        <v>3</v>
      </c>
      <c r="J62">
        <v>5</v>
      </c>
      <c r="K62">
        <v>10</v>
      </c>
      <c r="L62">
        <v>20</v>
      </c>
      <c r="M62">
        <v>30</v>
      </c>
      <c r="N62" s="9">
        <f>$U$48</f>
        <v>19.886926305059522</v>
      </c>
      <c r="O62" s="9"/>
      <c r="P62" s="9"/>
      <c r="Q62">
        <v>0.1</v>
      </c>
      <c r="R62">
        <v>0.2</v>
      </c>
      <c r="S62">
        <v>0.6</v>
      </c>
      <c r="T62">
        <v>1</v>
      </c>
      <c r="U62">
        <v>2</v>
      </c>
      <c r="V62">
        <v>3</v>
      </c>
      <c r="W62">
        <v>5</v>
      </c>
      <c r="X62">
        <v>10</v>
      </c>
      <c r="Y62">
        <v>20</v>
      </c>
      <c r="Z62">
        <v>30</v>
      </c>
      <c r="AA62" s="9">
        <f>$U$48</f>
        <v>19.886926305059522</v>
      </c>
      <c r="AD62">
        <v>0.1</v>
      </c>
      <c r="AE62">
        <v>0.2</v>
      </c>
      <c r="AF62">
        <v>0.6</v>
      </c>
      <c r="AG62">
        <v>1</v>
      </c>
      <c r="AH62">
        <v>2</v>
      </c>
      <c r="AI62">
        <v>3</v>
      </c>
      <c r="AJ62">
        <v>5</v>
      </c>
      <c r="AK62">
        <v>10</v>
      </c>
      <c r="AL62">
        <v>20</v>
      </c>
      <c r="AM62">
        <v>30</v>
      </c>
      <c r="AN62" s="9">
        <f>$U$48</f>
        <v>19.886926305059522</v>
      </c>
      <c r="AR62">
        <v>0.1</v>
      </c>
      <c r="AS62">
        <v>0.2</v>
      </c>
      <c r="AT62">
        <v>0.6</v>
      </c>
      <c r="AU62">
        <v>1</v>
      </c>
      <c r="AV62">
        <v>2</v>
      </c>
      <c r="AW62">
        <v>3</v>
      </c>
      <c r="AX62">
        <v>5</v>
      </c>
      <c r="AY62">
        <v>10</v>
      </c>
      <c r="AZ62">
        <v>20</v>
      </c>
      <c r="BA62">
        <v>30</v>
      </c>
      <c r="BB62" s="9">
        <f>$U$48</f>
        <v>19.886926305059522</v>
      </c>
    </row>
    <row r="63" spans="3:55" x14ac:dyDescent="0.25">
      <c r="D63" s="75">
        <f>D62/1000</f>
        <v>1E-4</v>
      </c>
      <c r="E63" s="75">
        <f t="shared" ref="E63:M63" si="24">E62/1000</f>
        <v>2.0000000000000001E-4</v>
      </c>
      <c r="F63" s="75">
        <f t="shared" si="24"/>
        <v>5.9999999999999995E-4</v>
      </c>
      <c r="G63" s="75">
        <f t="shared" si="24"/>
        <v>1E-3</v>
      </c>
      <c r="H63" s="75">
        <f t="shared" si="24"/>
        <v>2E-3</v>
      </c>
      <c r="I63" s="75">
        <f t="shared" si="24"/>
        <v>3.0000000000000001E-3</v>
      </c>
      <c r="J63" s="75">
        <f t="shared" si="24"/>
        <v>5.0000000000000001E-3</v>
      </c>
      <c r="K63" s="75">
        <f t="shared" si="24"/>
        <v>0.01</v>
      </c>
      <c r="L63" s="75">
        <f t="shared" si="24"/>
        <v>0.02</v>
      </c>
      <c r="M63" s="75">
        <f t="shared" si="24"/>
        <v>0.03</v>
      </c>
      <c r="N63" s="75">
        <f>N62/1000</f>
        <v>1.9886926305059522E-2</v>
      </c>
      <c r="O63" s="75"/>
      <c r="P63" s="75"/>
      <c r="Q63" s="75">
        <f>Q62/1000</f>
        <v>1E-4</v>
      </c>
      <c r="R63" s="75">
        <f t="shared" ref="R63:Z63" si="25">R62/1000</f>
        <v>2.0000000000000001E-4</v>
      </c>
      <c r="S63" s="75">
        <f t="shared" si="25"/>
        <v>5.9999999999999995E-4</v>
      </c>
      <c r="T63" s="75">
        <f t="shared" si="25"/>
        <v>1E-3</v>
      </c>
      <c r="U63" s="75">
        <f t="shared" si="25"/>
        <v>2E-3</v>
      </c>
      <c r="V63" s="75">
        <f t="shared" si="25"/>
        <v>3.0000000000000001E-3</v>
      </c>
      <c r="W63" s="75">
        <f t="shared" si="25"/>
        <v>5.0000000000000001E-3</v>
      </c>
      <c r="X63" s="75">
        <f t="shared" si="25"/>
        <v>0.01</v>
      </c>
      <c r="Y63" s="75">
        <f t="shared" si="25"/>
        <v>0.02</v>
      </c>
      <c r="Z63" s="75">
        <f t="shared" si="25"/>
        <v>0.03</v>
      </c>
      <c r="AA63" s="75">
        <f>AA62/1000</f>
        <v>1.9886926305059522E-2</v>
      </c>
      <c r="AD63" s="75">
        <f>AD62/1000</f>
        <v>1E-4</v>
      </c>
      <c r="AE63" s="75">
        <f t="shared" ref="AE63:AM63" si="26">AE62/1000</f>
        <v>2.0000000000000001E-4</v>
      </c>
      <c r="AF63" s="75">
        <f t="shared" si="26"/>
        <v>5.9999999999999995E-4</v>
      </c>
      <c r="AG63" s="75">
        <f t="shared" si="26"/>
        <v>1E-3</v>
      </c>
      <c r="AH63" s="75">
        <f t="shared" si="26"/>
        <v>2E-3</v>
      </c>
      <c r="AI63" s="75">
        <f t="shared" si="26"/>
        <v>3.0000000000000001E-3</v>
      </c>
      <c r="AJ63" s="75">
        <f t="shared" si="26"/>
        <v>5.0000000000000001E-3</v>
      </c>
      <c r="AK63" s="75">
        <f t="shared" si="26"/>
        <v>0.01</v>
      </c>
      <c r="AL63" s="75">
        <f t="shared" si="26"/>
        <v>0.02</v>
      </c>
      <c r="AM63" s="75">
        <f t="shared" si="26"/>
        <v>0.03</v>
      </c>
      <c r="AN63" s="75">
        <f>AN62/1000</f>
        <v>1.9886926305059522E-2</v>
      </c>
      <c r="AR63" s="75">
        <f>AR62/1000</f>
        <v>1E-4</v>
      </c>
      <c r="AS63" s="75">
        <f t="shared" ref="AS63:BA63" si="27">AS62/1000</f>
        <v>2.0000000000000001E-4</v>
      </c>
      <c r="AT63" s="75">
        <f t="shared" si="27"/>
        <v>5.9999999999999995E-4</v>
      </c>
      <c r="AU63" s="75">
        <f t="shared" si="27"/>
        <v>1E-3</v>
      </c>
      <c r="AV63" s="75">
        <f t="shared" si="27"/>
        <v>2E-3</v>
      </c>
      <c r="AW63" s="75">
        <f t="shared" si="27"/>
        <v>3.0000000000000001E-3</v>
      </c>
      <c r="AX63" s="75">
        <f t="shared" si="27"/>
        <v>5.0000000000000001E-3</v>
      </c>
      <c r="AY63" s="75">
        <f t="shared" si="27"/>
        <v>0.01</v>
      </c>
      <c r="AZ63" s="75">
        <f t="shared" si="27"/>
        <v>0.02</v>
      </c>
      <c r="BA63" s="75">
        <f t="shared" si="27"/>
        <v>0.03</v>
      </c>
      <c r="BB63" s="75">
        <f>BB62/1000</f>
        <v>1.9886926305059522E-2</v>
      </c>
    </row>
    <row r="64" spans="3:55" x14ac:dyDescent="0.25">
      <c r="BC64" t="s">
        <v>10</v>
      </c>
    </row>
    <row r="65" spans="3:55" x14ac:dyDescent="0.25">
      <c r="C65" s="28">
        <f>U38</f>
        <v>1010</v>
      </c>
      <c r="D65" s="9">
        <f t="shared" ref="D65:N80" si="28">D$63*$C65/(0.622+D$63)</f>
        <v>0.16235331940202541</v>
      </c>
      <c r="E65" s="9">
        <f t="shared" si="28"/>
        <v>0.32465445194471232</v>
      </c>
      <c r="F65" s="9">
        <f t="shared" si="28"/>
        <v>0.97333761644715699</v>
      </c>
      <c r="G65" s="9">
        <f t="shared" si="28"/>
        <v>1.6211878009630818</v>
      </c>
      <c r="H65" s="9">
        <f t="shared" si="28"/>
        <v>3.2371794871794872</v>
      </c>
      <c r="I65" s="9">
        <f t="shared" si="28"/>
        <v>4.8480000000000008</v>
      </c>
      <c r="J65" s="9">
        <f t="shared" si="28"/>
        <v>8.0542264752791066</v>
      </c>
      <c r="K65" s="9">
        <f t="shared" si="28"/>
        <v>15.981012658227847</v>
      </c>
      <c r="L65" s="9">
        <f t="shared" si="28"/>
        <v>31.464174454828658</v>
      </c>
      <c r="M65" s="9">
        <f t="shared" si="28"/>
        <v>46.472392638036801</v>
      </c>
      <c r="N65" s="51">
        <f t="shared" si="28"/>
        <v>31.291797269857867</v>
      </c>
      <c r="Q65" s="9">
        <f t="shared" ref="Q65:AA65" si="29">LN(D65/6.11)</f>
        <v>-3.6279071078632184</v>
      </c>
      <c r="R65" s="9">
        <f t="shared" si="29"/>
        <v>-2.9349206602458358</v>
      </c>
      <c r="S65" s="9">
        <f t="shared" si="29"/>
        <v>-1.8369510451216975</v>
      </c>
      <c r="T65" s="9">
        <f t="shared" si="29"/>
        <v>-1.326767682135652</v>
      </c>
      <c r="U65" s="9">
        <f t="shared" si="29"/>
        <v>-0.63522435115768117</v>
      </c>
      <c r="V65" s="9">
        <f t="shared" si="29"/>
        <v>-0.23136052441649055</v>
      </c>
      <c r="W65" s="9">
        <f t="shared" si="29"/>
        <v>0.27627020845298084</v>
      </c>
      <c r="X65" s="9">
        <f t="shared" si="29"/>
        <v>0.96147453549898942</v>
      </c>
      <c r="Y65" s="9">
        <f t="shared" si="29"/>
        <v>1.638922806515831</v>
      </c>
      <c r="Z65" s="9">
        <f t="shared" si="29"/>
        <v>2.0289316563873032</v>
      </c>
      <c r="AA65" s="51">
        <f t="shared" si="29"/>
        <v>1.6334292219611106</v>
      </c>
      <c r="AD65" s="9">
        <f t="shared" ref="AD65:AD85" si="30">-($M$8/$M$9)/(Q65-($M$8/$M$9*1/273.15))</f>
        <v>230.26639373288432</v>
      </c>
      <c r="AE65" s="9">
        <f t="shared" ref="AE65:AE85" si="31">-($M$8/$M$9)/(R65-($M$8/$M$9*1/273.15))</f>
        <v>237.38528690701943</v>
      </c>
      <c r="AF65" s="9">
        <f t="shared" ref="AF65:AF85" si="32">-($M$8/$M$9)/(S65-($M$8/$M$9*1/273.15))</f>
        <v>249.61209578410453</v>
      </c>
      <c r="AG65" s="9">
        <f t="shared" ref="AG65:AG85" si="33">-($M$8/$M$9)/(T65-($M$8/$M$9*1/273.15))</f>
        <v>255.73251609468241</v>
      </c>
      <c r="AH65" s="9">
        <f t="shared" ref="AH65:AH85" si="34">-($M$8/$M$9)/(U65-($M$8/$M$9*1/273.15))</f>
        <v>264.52424336011353</v>
      </c>
      <c r="AI65" s="9">
        <f t="shared" ref="AI65:AI85" si="35">-($M$8/$M$9)/(V65-($M$8/$M$9*1/273.15))</f>
        <v>269.94397079653947</v>
      </c>
      <c r="AJ65" s="9">
        <f t="shared" ref="AJ65:AJ85" si="36">-($M$8/$M$9)/(W65-($M$8/$M$9*1/273.15))</f>
        <v>277.07955267907806</v>
      </c>
      <c r="AK65" s="9">
        <f t="shared" ref="AK65:AK85" si="37">-($M$8/$M$9)/(X65-($M$8/$M$9*1/273.15))</f>
        <v>287.3316181391329</v>
      </c>
      <c r="AL65" s="9">
        <f t="shared" ref="AL65:AL85" si="38">-($M$8/$M$9)/(Y65-($M$8/$M$9*1/273.15))</f>
        <v>298.24178582728894</v>
      </c>
      <c r="AM65" s="9">
        <f t="shared" ref="AM65:AM85" si="39">-($M$8/$M$9)/(Z65-($M$8/$M$9*1/273.15))</f>
        <v>304.90699397632523</v>
      </c>
      <c r="AN65" s="51">
        <f t="shared" ref="AN65:AN85" si="40">-($M$8/$M$9)/(AA65-($M$8/$M$9*1/273.15))</f>
        <v>298.14998164457302</v>
      </c>
      <c r="AR65" s="9">
        <f t="shared" ref="AR65:BB85" si="41">AD65-273.15</f>
        <v>-42.883606267115653</v>
      </c>
      <c r="AS65" s="9">
        <f t="shared" si="41"/>
        <v>-35.764713092980543</v>
      </c>
      <c r="AT65" s="9">
        <f t="shared" si="41"/>
        <v>-23.537904215895452</v>
      </c>
      <c r="AU65" s="9">
        <f t="shared" si="41"/>
        <v>-17.417483905317567</v>
      </c>
      <c r="AV65" s="9">
        <f t="shared" si="41"/>
        <v>-8.6257566398864469</v>
      </c>
      <c r="AW65" s="9">
        <f t="shared" si="41"/>
        <v>-3.2060292034605027</v>
      </c>
      <c r="AX65" s="9">
        <f t="shared" si="41"/>
        <v>3.9295526790780855</v>
      </c>
      <c r="AY65" s="9">
        <f t="shared" si="41"/>
        <v>14.181618139132922</v>
      </c>
      <c r="AZ65" s="9">
        <f t="shared" si="41"/>
        <v>25.091785827288959</v>
      </c>
      <c r="BA65" s="9">
        <f t="shared" si="41"/>
        <v>31.756993976325248</v>
      </c>
      <c r="BB65" s="51">
        <f t="shared" si="41"/>
        <v>24.99998164457304</v>
      </c>
      <c r="BC65">
        <f t="shared" ref="BC65:BC85" si="42">C65</f>
        <v>1010</v>
      </c>
    </row>
    <row r="66" spans="3:55" x14ac:dyDescent="0.25">
      <c r="C66">
        <f t="shared" ref="C66:C84" si="43">C65-50</f>
        <v>960</v>
      </c>
      <c r="D66" s="9">
        <f t="shared" si="28"/>
        <v>0.15431602636232117</v>
      </c>
      <c r="E66" s="9">
        <f t="shared" si="28"/>
        <v>0.3085824493731919</v>
      </c>
      <c r="F66" s="9">
        <f t="shared" si="28"/>
        <v>0.92515258592997096</v>
      </c>
      <c r="G66" s="9">
        <f t="shared" si="28"/>
        <v>1.5409309791332262</v>
      </c>
      <c r="H66" s="9">
        <f t="shared" si="28"/>
        <v>3.0769230769230766</v>
      </c>
      <c r="I66" s="9">
        <f t="shared" si="28"/>
        <v>4.6079999999999997</v>
      </c>
      <c r="J66" s="9">
        <f t="shared" si="28"/>
        <v>7.6555023923444976</v>
      </c>
      <c r="K66" s="9">
        <f t="shared" si="28"/>
        <v>15.189873417721518</v>
      </c>
      <c r="L66" s="9">
        <f t="shared" si="28"/>
        <v>29.906542056074766</v>
      </c>
      <c r="M66" s="9">
        <f t="shared" si="28"/>
        <v>44.171779141104288</v>
      </c>
      <c r="N66" s="51">
        <f t="shared" si="28"/>
        <v>29.742698395112427</v>
      </c>
      <c r="Q66" s="9">
        <f t="shared" ref="Q66:AA85" si="44">LN(D66/6.11)</f>
        <v>-3.6786794332366419</v>
      </c>
      <c r="R66" s="9">
        <f t="shared" si="44"/>
        <v>-2.9856929856192589</v>
      </c>
      <c r="S66" s="9">
        <f t="shared" si="44"/>
        <v>-1.8877233704951206</v>
      </c>
      <c r="T66" s="9">
        <f t="shared" si="44"/>
        <v>-1.3775400075090753</v>
      </c>
      <c r="U66" s="9">
        <f t="shared" si="44"/>
        <v>-0.68599667653110441</v>
      </c>
      <c r="V66" s="9">
        <f t="shared" si="44"/>
        <v>-0.28213284978991393</v>
      </c>
      <c r="W66" s="9">
        <f t="shared" si="44"/>
        <v>0.22549788307955754</v>
      </c>
      <c r="X66" s="9">
        <f t="shared" si="44"/>
        <v>0.91070221012556607</v>
      </c>
      <c r="Y66" s="9">
        <f t="shared" si="44"/>
        <v>1.5881504811424079</v>
      </c>
      <c r="Z66" s="9">
        <f t="shared" si="44"/>
        <v>1.9781593310138801</v>
      </c>
      <c r="AA66" s="51">
        <f t="shared" si="44"/>
        <v>1.5826568965876875</v>
      </c>
      <c r="AD66" s="9">
        <f t="shared" si="30"/>
        <v>229.76157160353338</v>
      </c>
      <c r="AE66" s="9">
        <f t="shared" si="31"/>
        <v>236.84880457143834</v>
      </c>
      <c r="AF66" s="9">
        <f t="shared" si="32"/>
        <v>249.0189949505438</v>
      </c>
      <c r="AG66" s="9">
        <f t="shared" si="33"/>
        <v>255.11000960631813</v>
      </c>
      <c r="AH66" s="9">
        <f t="shared" si="34"/>
        <v>263.85825506165207</v>
      </c>
      <c r="AI66" s="9">
        <f t="shared" si="35"/>
        <v>269.25044838692025</v>
      </c>
      <c r="AJ66" s="9">
        <f t="shared" si="36"/>
        <v>276.34893075835436</v>
      </c>
      <c r="AK66" s="9">
        <f t="shared" si="37"/>
        <v>286.54600595604552</v>
      </c>
      <c r="AL66" s="9">
        <f t="shared" si="38"/>
        <v>297.39546842795608</v>
      </c>
      <c r="AM66" s="9">
        <f t="shared" si="39"/>
        <v>304.02248240481805</v>
      </c>
      <c r="AN66" s="51">
        <f t="shared" si="40"/>
        <v>297.30418444967012</v>
      </c>
      <c r="AR66" s="9">
        <f t="shared" si="41"/>
        <v>-43.388428396466594</v>
      </c>
      <c r="AS66" s="9">
        <f t="shared" si="41"/>
        <v>-36.301195428561641</v>
      </c>
      <c r="AT66" s="9">
        <f t="shared" si="41"/>
        <v>-24.131005049456178</v>
      </c>
      <c r="AU66" s="9">
        <f t="shared" si="41"/>
        <v>-18.039990393681848</v>
      </c>
      <c r="AV66" s="9">
        <f t="shared" si="41"/>
        <v>-9.2917449383479038</v>
      </c>
      <c r="AW66" s="9">
        <f t="shared" si="41"/>
        <v>-3.8995516130797228</v>
      </c>
      <c r="AX66" s="9">
        <f t="shared" si="41"/>
        <v>3.1989307583543791</v>
      </c>
      <c r="AY66" s="9">
        <f t="shared" si="41"/>
        <v>13.396005956045542</v>
      </c>
      <c r="AZ66" s="9">
        <f t="shared" si="41"/>
        <v>24.245468427956098</v>
      </c>
      <c r="BA66" s="9">
        <f t="shared" si="41"/>
        <v>30.872482404818072</v>
      </c>
      <c r="BB66" s="51">
        <f t="shared" si="41"/>
        <v>24.15418444967014</v>
      </c>
      <c r="BC66">
        <f t="shared" si="42"/>
        <v>960</v>
      </c>
    </row>
    <row r="67" spans="3:55" x14ac:dyDescent="0.25">
      <c r="C67">
        <f t="shared" si="43"/>
        <v>910</v>
      </c>
      <c r="D67" s="9">
        <f t="shared" si="28"/>
        <v>0.14627873332261696</v>
      </c>
      <c r="E67" s="9">
        <f t="shared" si="28"/>
        <v>0.29251044680167149</v>
      </c>
      <c r="F67" s="9">
        <f t="shared" si="28"/>
        <v>0.87696755541278493</v>
      </c>
      <c r="G67" s="9">
        <f t="shared" si="28"/>
        <v>1.4606741573033708</v>
      </c>
      <c r="H67" s="9">
        <f t="shared" si="28"/>
        <v>2.916666666666667</v>
      </c>
      <c r="I67" s="9">
        <f t="shared" si="28"/>
        <v>4.3680000000000003</v>
      </c>
      <c r="J67" s="9">
        <f t="shared" si="28"/>
        <v>7.2567783094098877</v>
      </c>
      <c r="K67" s="9">
        <f t="shared" si="28"/>
        <v>14.398734177215189</v>
      </c>
      <c r="L67" s="9">
        <f t="shared" si="28"/>
        <v>28.348909657320871</v>
      </c>
      <c r="M67" s="9">
        <f t="shared" si="28"/>
        <v>41.871165644171782</v>
      </c>
      <c r="N67" s="51">
        <f t="shared" si="28"/>
        <v>28.193599520366988</v>
      </c>
      <c r="Q67" s="9">
        <f t="shared" si="44"/>
        <v>-3.7321681181876278</v>
      </c>
      <c r="R67" s="9">
        <f t="shared" si="44"/>
        <v>-3.0391816705702452</v>
      </c>
      <c r="S67" s="9">
        <f t="shared" si="44"/>
        <v>-1.941212055446107</v>
      </c>
      <c r="T67" s="9">
        <f t="shared" si="44"/>
        <v>-1.4310286924600615</v>
      </c>
      <c r="U67" s="9">
        <f t="shared" si="44"/>
        <v>-0.73948536148209054</v>
      </c>
      <c r="V67" s="9">
        <f t="shared" si="44"/>
        <v>-0.33562153474090001</v>
      </c>
      <c r="W67" s="9">
        <f t="shared" si="44"/>
        <v>0.17200919812857124</v>
      </c>
      <c r="X67" s="9">
        <f t="shared" si="44"/>
        <v>0.85721352517457983</v>
      </c>
      <c r="Y67" s="9">
        <f t="shared" si="44"/>
        <v>1.5346617961914215</v>
      </c>
      <c r="Z67" s="9">
        <f t="shared" si="44"/>
        <v>1.9246706460628942</v>
      </c>
      <c r="AA67" s="51">
        <f t="shared" si="44"/>
        <v>1.5291682116367011</v>
      </c>
      <c r="AD67" s="9">
        <f t="shared" si="30"/>
        <v>229.23212985926196</v>
      </c>
      <c r="AE67" s="9">
        <f t="shared" si="31"/>
        <v>236.28623670699241</v>
      </c>
      <c r="AF67" s="9">
        <f t="shared" si="32"/>
        <v>248.39720388610777</v>
      </c>
      <c r="AG67" s="9">
        <f t="shared" si="33"/>
        <v>254.45746831375931</v>
      </c>
      <c r="AH67" s="9">
        <f t="shared" si="34"/>
        <v>263.16025368323915</v>
      </c>
      <c r="AI67" s="9">
        <f t="shared" si="35"/>
        <v>268.52366615547442</v>
      </c>
      <c r="AJ67" s="9">
        <f t="shared" si="36"/>
        <v>275.58337627724597</v>
      </c>
      <c r="AK67" s="9">
        <f t="shared" si="37"/>
        <v>285.72299644666089</v>
      </c>
      <c r="AL67" s="9">
        <f t="shared" si="38"/>
        <v>296.50905239771873</v>
      </c>
      <c r="AM67" s="9">
        <f t="shared" si="39"/>
        <v>303.09618282818241</v>
      </c>
      <c r="AN67" s="51">
        <f t="shared" si="40"/>
        <v>296.41831168695006</v>
      </c>
      <c r="AR67" s="9">
        <f t="shared" si="41"/>
        <v>-43.917870140738017</v>
      </c>
      <c r="AS67" s="9">
        <f t="shared" si="41"/>
        <v>-36.863763293007565</v>
      </c>
      <c r="AT67" s="9">
        <f t="shared" si="41"/>
        <v>-24.752796113892202</v>
      </c>
      <c r="AU67" s="9">
        <f t="shared" si="41"/>
        <v>-18.69253168624067</v>
      </c>
      <c r="AV67" s="9">
        <f t="shared" si="41"/>
        <v>-9.9897463167608294</v>
      </c>
      <c r="AW67" s="9">
        <f t="shared" si="41"/>
        <v>-4.6263338445255613</v>
      </c>
      <c r="AX67" s="9">
        <f t="shared" si="41"/>
        <v>2.4333762772459977</v>
      </c>
      <c r="AY67" s="9">
        <f t="shared" si="41"/>
        <v>12.572996446660909</v>
      </c>
      <c r="AZ67" s="9">
        <f t="shared" si="41"/>
        <v>23.359052397718756</v>
      </c>
      <c r="BA67" s="9">
        <f t="shared" si="41"/>
        <v>29.94618282818243</v>
      </c>
      <c r="BB67" s="51">
        <f t="shared" si="41"/>
        <v>23.268311686950085</v>
      </c>
      <c r="BC67">
        <f t="shared" si="42"/>
        <v>910</v>
      </c>
    </row>
    <row r="68" spans="3:55" x14ac:dyDescent="0.25">
      <c r="C68">
        <f t="shared" si="43"/>
        <v>860</v>
      </c>
      <c r="D68" s="9">
        <f t="shared" si="28"/>
        <v>0.13824144028291274</v>
      </c>
      <c r="E68" s="9">
        <f t="shared" si="28"/>
        <v>0.27643844423015113</v>
      </c>
      <c r="F68" s="9">
        <f t="shared" si="28"/>
        <v>0.82878252489559889</v>
      </c>
      <c r="G68" s="9">
        <f t="shared" si="28"/>
        <v>1.3804173354735152</v>
      </c>
      <c r="H68" s="9">
        <f t="shared" si="28"/>
        <v>2.7564102564102564</v>
      </c>
      <c r="I68" s="9">
        <f t="shared" si="28"/>
        <v>4.1280000000000001</v>
      </c>
      <c r="J68" s="9">
        <f t="shared" si="28"/>
        <v>6.8580542264752786</v>
      </c>
      <c r="K68" s="9">
        <f t="shared" si="28"/>
        <v>13.60759493670886</v>
      </c>
      <c r="L68" s="9">
        <f t="shared" si="28"/>
        <v>26.791277258566975</v>
      </c>
      <c r="M68" s="9">
        <f t="shared" si="28"/>
        <v>39.570552147239262</v>
      </c>
      <c r="N68" s="51">
        <f t="shared" si="28"/>
        <v>26.644500645621552</v>
      </c>
      <c r="Q68" s="9">
        <f t="shared" si="44"/>
        <v>-3.7886803284509702</v>
      </c>
      <c r="R68" s="9">
        <f t="shared" si="44"/>
        <v>-3.0956938808335872</v>
      </c>
      <c r="S68" s="9">
        <f t="shared" si="44"/>
        <v>-1.9977242657094494</v>
      </c>
      <c r="T68" s="9">
        <f t="shared" si="44"/>
        <v>-1.4875409027234037</v>
      </c>
      <c r="U68" s="9">
        <f t="shared" si="44"/>
        <v>-0.79599757174543295</v>
      </c>
      <c r="V68" s="9">
        <f t="shared" si="44"/>
        <v>-0.39213374500424231</v>
      </c>
      <c r="W68" s="9">
        <f t="shared" si="44"/>
        <v>0.11549698786522901</v>
      </c>
      <c r="X68" s="9">
        <f t="shared" si="44"/>
        <v>0.80070131491123764</v>
      </c>
      <c r="Y68" s="9">
        <f t="shared" si="44"/>
        <v>1.4781495859280791</v>
      </c>
      <c r="Z68" s="9">
        <f t="shared" si="44"/>
        <v>1.8681584357995518</v>
      </c>
      <c r="AA68" s="51">
        <f t="shared" si="44"/>
        <v>1.4726560013733589</v>
      </c>
      <c r="AD68" s="9">
        <f t="shared" si="30"/>
        <v>228.67540499622271</v>
      </c>
      <c r="AE68" s="9">
        <f t="shared" si="31"/>
        <v>235.69476492180266</v>
      </c>
      <c r="AF68" s="9">
        <f t="shared" si="32"/>
        <v>247.7436297317104</v>
      </c>
      <c r="AG68" s="9">
        <f t="shared" si="33"/>
        <v>253.77165803533811</v>
      </c>
      <c r="AH68" s="9">
        <f t="shared" si="34"/>
        <v>262.42679754472653</v>
      </c>
      <c r="AI68" s="9">
        <f t="shared" si="35"/>
        <v>267.76005190923632</v>
      </c>
      <c r="AJ68" s="9">
        <f t="shared" si="36"/>
        <v>274.77914223808943</v>
      </c>
      <c r="AK68" s="9">
        <f t="shared" si="37"/>
        <v>284.85858565472529</v>
      </c>
      <c r="AL68" s="9">
        <f t="shared" si="38"/>
        <v>295.57825297473875</v>
      </c>
      <c r="AM68" s="9">
        <f t="shared" si="39"/>
        <v>302.12363528916865</v>
      </c>
      <c r="AN68" s="51">
        <f t="shared" si="40"/>
        <v>295.48808098851532</v>
      </c>
      <c r="AR68" s="9">
        <f t="shared" si="41"/>
        <v>-44.474595003777267</v>
      </c>
      <c r="AS68" s="9">
        <f t="shared" si="41"/>
        <v>-37.455235078197319</v>
      </c>
      <c r="AT68" s="9">
        <f t="shared" si="41"/>
        <v>-25.406370268289578</v>
      </c>
      <c r="AU68" s="9">
        <f t="shared" si="41"/>
        <v>-19.378341964661871</v>
      </c>
      <c r="AV68" s="9">
        <f t="shared" si="41"/>
        <v>-10.723202455273452</v>
      </c>
      <c r="AW68" s="9">
        <f t="shared" si="41"/>
        <v>-5.389948090763653</v>
      </c>
      <c r="AX68" s="9">
        <f t="shared" si="41"/>
        <v>1.6291422380894574</v>
      </c>
      <c r="AY68" s="9">
        <f t="shared" si="41"/>
        <v>11.708585654725312</v>
      </c>
      <c r="AZ68" s="9">
        <f t="shared" si="41"/>
        <v>22.428252974738768</v>
      </c>
      <c r="BA68" s="9">
        <f t="shared" si="41"/>
        <v>28.973635289168669</v>
      </c>
      <c r="BB68" s="51">
        <f t="shared" si="41"/>
        <v>22.338080988515344</v>
      </c>
      <c r="BC68">
        <f t="shared" si="42"/>
        <v>860</v>
      </c>
    </row>
    <row r="69" spans="3:55" x14ac:dyDescent="0.25">
      <c r="C69">
        <f t="shared" si="43"/>
        <v>810</v>
      </c>
      <c r="D69" s="9">
        <f t="shared" si="28"/>
        <v>0.1302041472432085</v>
      </c>
      <c r="E69" s="9">
        <f t="shared" si="28"/>
        <v>0.26036644165863071</v>
      </c>
      <c r="F69" s="9">
        <f t="shared" si="28"/>
        <v>0.78059749437841297</v>
      </c>
      <c r="G69" s="9">
        <f t="shared" si="28"/>
        <v>1.3001605136436598</v>
      </c>
      <c r="H69" s="9">
        <f t="shared" si="28"/>
        <v>2.5961538461538463</v>
      </c>
      <c r="I69" s="9">
        <f t="shared" si="28"/>
        <v>3.8880000000000003</v>
      </c>
      <c r="J69" s="9">
        <f t="shared" si="28"/>
        <v>6.4593301435406696</v>
      </c>
      <c r="K69" s="9">
        <f t="shared" si="28"/>
        <v>12.816455696202532</v>
      </c>
      <c r="L69" s="9">
        <f t="shared" si="28"/>
        <v>25.233644859813083</v>
      </c>
      <c r="M69" s="9">
        <f t="shared" si="28"/>
        <v>37.269938650306749</v>
      </c>
      <c r="N69" s="51">
        <f t="shared" si="28"/>
        <v>25.095401770876112</v>
      </c>
      <c r="Q69" s="9">
        <f t="shared" si="44"/>
        <v>-3.8485784700320393</v>
      </c>
      <c r="R69" s="9">
        <f t="shared" si="44"/>
        <v>-3.1555920224146563</v>
      </c>
      <c r="S69" s="9">
        <f t="shared" si="44"/>
        <v>-2.057622407290518</v>
      </c>
      <c r="T69" s="9">
        <f t="shared" si="44"/>
        <v>-1.5474390443044725</v>
      </c>
      <c r="U69" s="9">
        <f t="shared" si="44"/>
        <v>-0.85589571332650183</v>
      </c>
      <c r="V69" s="9">
        <f t="shared" si="44"/>
        <v>-0.45203188658531129</v>
      </c>
      <c r="W69" s="9">
        <f t="shared" si="44"/>
        <v>5.559884628416014E-2</v>
      </c>
      <c r="X69" s="9">
        <f t="shared" si="44"/>
        <v>0.74080317333016865</v>
      </c>
      <c r="Y69" s="9">
        <f t="shared" si="44"/>
        <v>1.4182514443470102</v>
      </c>
      <c r="Z69" s="9">
        <f t="shared" si="44"/>
        <v>1.8082602942184829</v>
      </c>
      <c r="AA69" s="51">
        <f t="shared" si="44"/>
        <v>1.4127578597922898</v>
      </c>
      <c r="AD69" s="9">
        <f t="shared" si="30"/>
        <v>228.08826842766263</v>
      </c>
      <c r="AE69" s="9">
        <f t="shared" si="31"/>
        <v>235.07107911259197</v>
      </c>
      <c r="AF69" s="9">
        <f t="shared" si="32"/>
        <v>247.05464081181393</v>
      </c>
      <c r="AG69" s="9">
        <f t="shared" si="33"/>
        <v>253.04878155795308</v>
      </c>
      <c r="AH69" s="9">
        <f t="shared" si="34"/>
        <v>261.65384642734165</v>
      </c>
      <c r="AI69" s="9">
        <f t="shared" si="35"/>
        <v>266.9554126109856</v>
      </c>
      <c r="AJ69" s="9">
        <f t="shared" si="36"/>
        <v>273.93183095621748</v>
      </c>
      <c r="AK69" s="9">
        <f t="shared" si="37"/>
        <v>283.9480751349987</v>
      </c>
      <c r="AL69" s="9">
        <f t="shared" si="38"/>
        <v>294.59804312821854</v>
      </c>
      <c r="AM69" s="9">
        <f t="shared" si="39"/>
        <v>301.09960779611112</v>
      </c>
      <c r="AN69" s="51">
        <f t="shared" si="40"/>
        <v>294.50846812447088</v>
      </c>
      <c r="AR69" s="9">
        <f t="shared" si="41"/>
        <v>-45.061731572337351</v>
      </c>
      <c r="AS69" s="9">
        <f t="shared" si="41"/>
        <v>-38.078920887408003</v>
      </c>
      <c r="AT69" s="9">
        <f t="shared" si="41"/>
        <v>-26.095359188186052</v>
      </c>
      <c r="AU69" s="9">
        <f t="shared" si="41"/>
        <v>-20.1012184420469</v>
      </c>
      <c r="AV69" s="9">
        <f t="shared" si="41"/>
        <v>-11.496153572658329</v>
      </c>
      <c r="AW69" s="9">
        <f t="shared" si="41"/>
        <v>-6.194587389014373</v>
      </c>
      <c r="AX69" s="9">
        <f t="shared" si="41"/>
        <v>0.78183095621750454</v>
      </c>
      <c r="AY69" s="9">
        <f t="shared" si="41"/>
        <v>10.798075134998726</v>
      </c>
      <c r="AZ69" s="9">
        <f t="shared" si="41"/>
        <v>21.448043128218558</v>
      </c>
      <c r="BA69" s="9">
        <f t="shared" si="41"/>
        <v>27.949607796111138</v>
      </c>
      <c r="BB69" s="51">
        <f t="shared" si="41"/>
        <v>21.358468124470903</v>
      </c>
      <c r="BC69">
        <f t="shared" si="42"/>
        <v>810</v>
      </c>
    </row>
    <row r="70" spans="3:55" x14ac:dyDescent="0.25">
      <c r="C70">
        <f t="shared" si="43"/>
        <v>760</v>
      </c>
      <c r="D70" s="9">
        <f t="shared" si="28"/>
        <v>0.12216685420350426</v>
      </c>
      <c r="E70" s="9">
        <f t="shared" si="28"/>
        <v>0.24429443908711027</v>
      </c>
      <c r="F70" s="9">
        <f t="shared" si="28"/>
        <v>0.73241246386122705</v>
      </c>
      <c r="G70" s="9">
        <f t="shared" si="28"/>
        <v>1.2199036918138042</v>
      </c>
      <c r="H70" s="9">
        <f t="shared" si="28"/>
        <v>2.4358974358974361</v>
      </c>
      <c r="I70" s="9">
        <f t="shared" si="28"/>
        <v>3.6480000000000006</v>
      </c>
      <c r="J70" s="9">
        <f t="shared" si="28"/>
        <v>6.0606060606060614</v>
      </c>
      <c r="K70" s="9">
        <f t="shared" si="28"/>
        <v>12.025316455696203</v>
      </c>
      <c r="L70" s="9">
        <f t="shared" si="28"/>
        <v>23.676012461059191</v>
      </c>
      <c r="M70" s="9">
        <f t="shared" si="28"/>
        <v>34.969325153374236</v>
      </c>
      <c r="N70" s="51">
        <f t="shared" si="28"/>
        <v>23.546302896130669</v>
      </c>
      <c r="Q70" s="9">
        <f t="shared" si="44"/>
        <v>-3.912294284418147</v>
      </c>
      <c r="R70" s="9">
        <f t="shared" si="44"/>
        <v>-3.2193078368007644</v>
      </c>
      <c r="S70" s="9">
        <f t="shared" si="44"/>
        <v>-2.1213382216766257</v>
      </c>
      <c r="T70" s="9">
        <f t="shared" si="44"/>
        <v>-1.6111548586905804</v>
      </c>
      <c r="U70" s="9">
        <f t="shared" si="44"/>
        <v>-0.91961152771260946</v>
      </c>
      <c r="V70" s="9">
        <f t="shared" si="44"/>
        <v>-0.51574770097141887</v>
      </c>
      <c r="W70" s="9">
        <f t="shared" si="44"/>
        <v>-8.1169681019474388E-3</v>
      </c>
      <c r="X70" s="9">
        <f t="shared" si="44"/>
        <v>0.67708735894406102</v>
      </c>
      <c r="Y70" s="9">
        <f t="shared" si="44"/>
        <v>1.3545356299609026</v>
      </c>
      <c r="Z70" s="9">
        <f t="shared" si="44"/>
        <v>1.7445444798323753</v>
      </c>
      <c r="AA70" s="51">
        <f t="shared" si="44"/>
        <v>1.3490420454061822</v>
      </c>
      <c r="AD70" s="9">
        <f t="shared" si="30"/>
        <v>227.46701044285663</v>
      </c>
      <c r="AE70" s="9">
        <f t="shared" si="31"/>
        <v>234.41125485716057</v>
      </c>
      <c r="AF70" s="9">
        <f t="shared" si="32"/>
        <v>246.32593242593126</v>
      </c>
      <c r="AG70" s="9">
        <f t="shared" si="33"/>
        <v>252.28433847209999</v>
      </c>
      <c r="AH70" s="9">
        <f t="shared" si="34"/>
        <v>260.8366126830519</v>
      </c>
      <c r="AI70" s="9">
        <f t="shared" si="35"/>
        <v>266.10478001217984</v>
      </c>
      <c r="AJ70" s="9">
        <f t="shared" si="36"/>
        <v>273.03623237188367</v>
      </c>
      <c r="AK70" s="9">
        <f t="shared" si="37"/>
        <v>282.98589953164236</v>
      </c>
      <c r="AL70" s="9">
        <f t="shared" si="38"/>
        <v>293.56246944413766</v>
      </c>
      <c r="AM70" s="9">
        <f t="shared" si="39"/>
        <v>300.01790493251855</v>
      </c>
      <c r="AN70" s="51">
        <f t="shared" si="40"/>
        <v>293.47352298818407</v>
      </c>
      <c r="AR70" s="9">
        <f t="shared" si="41"/>
        <v>-45.682989557143344</v>
      </c>
      <c r="AS70" s="9">
        <f t="shared" si="41"/>
        <v>-38.738745142839406</v>
      </c>
      <c r="AT70" s="9">
        <f t="shared" si="41"/>
        <v>-26.824067574068721</v>
      </c>
      <c r="AU70" s="9">
        <f t="shared" si="41"/>
        <v>-20.865661527899988</v>
      </c>
      <c r="AV70" s="9">
        <f t="shared" si="41"/>
        <v>-12.313387316948081</v>
      </c>
      <c r="AW70" s="9">
        <f t="shared" si="41"/>
        <v>-7.0452199878201327</v>
      </c>
      <c r="AX70" s="9">
        <f t="shared" si="41"/>
        <v>-0.1137676281163067</v>
      </c>
      <c r="AY70" s="9">
        <f t="shared" si="41"/>
        <v>9.835899531642383</v>
      </c>
      <c r="AZ70" s="9">
        <f t="shared" si="41"/>
        <v>20.412469444137685</v>
      </c>
      <c r="BA70" s="9">
        <f t="shared" si="41"/>
        <v>26.86790493251857</v>
      </c>
      <c r="BB70" s="51">
        <f t="shared" si="41"/>
        <v>20.323522988184095</v>
      </c>
      <c r="BC70">
        <f t="shared" si="42"/>
        <v>760</v>
      </c>
    </row>
    <row r="71" spans="3:55" x14ac:dyDescent="0.25">
      <c r="C71">
        <f t="shared" si="43"/>
        <v>710</v>
      </c>
      <c r="D71" s="9">
        <f t="shared" si="28"/>
        <v>0.11412956116380005</v>
      </c>
      <c r="E71" s="9">
        <f t="shared" si="28"/>
        <v>0.22822243651558988</v>
      </c>
      <c r="F71" s="9">
        <f t="shared" si="28"/>
        <v>0.68422743334404101</v>
      </c>
      <c r="G71" s="9">
        <f t="shared" si="28"/>
        <v>1.1396468699839486</v>
      </c>
      <c r="H71" s="9">
        <f t="shared" si="28"/>
        <v>2.2756410256410255</v>
      </c>
      <c r="I71" s="9">
        <f t="shared" si="28"/>
        <v>3.4079999999999999</v>
      </c>
      <c r="J71" s="9">
        <f t="shared" si="28"/>
        <v>5.6618819776714515</v>
      </c>
      <c r="K71" s="9">
        <f t="shared" si="28"/>
        <v>11.234177215189874</v>
      </c>
      <c r="L71" s="9">
        <f t="shared" si="28"/>
        <v>22.118380062305299</v>
      </c>
      <c r="M71" s="9">
        <f t="shared" si="28"/>
        <v>32.668711656441715</v>
      </c>
      <c r="N71" s="51">
        <f t="shared" si="28"/>
        <v>21.997204021385233</v>
      </c>
      <c r="Q71" s="9">
        <f t="shared" si="44"/>
        <v>-3.9803477476631626</v>
      </c>
      <c r="R71" s="9">
        <f t="shared" si="44"/>
        <v>-3.28736130004578</v>
      </c>
      <c r="S71" s="9">
        <f t="shared" si="44"/>
        <v>-2.1893916849216417</v>
      </c>
      <c r="T71" s="9">
        <f t="shared" si="44"/>
        <v>-1.679208321935596</v>
      </c>
      <c r="U71" s="9">
        <f t="shared" si="44"/>
        <v>-0.98766499095762528</v>
      </c>
      <c r="V71" s="9">
        <f t="shared" si="44"/>
        <v>-0.58380116421643469</v>
      </c>
      <c r="W71" s="9">
        <f t="shared" si="44"/>
        <v>-7.6170431346963219E-2</v>
      </c>
      <c r="X71" s="9">
        <f t="shared" si="44"/>
        <v>0.60903389569904542</v>
      </c>
      <c r="Y71" s="9">
        <f t="shared" si="44"/>
        <v>1.286482166715887</v>
      </c>
      <c r="Z71" s="9">
        <f t="shared" si="44"/>
        <v>1.6764910165873594</v>
      </c>
      <c r="AA71" s="51">
        <f t="shared" si="44"/>
        <v>1.2809885821611666</v>
      </c>
      <c r="AD71" s="9">
        <f t="shared" si="30"/>
        <v>226.80718533502693</v>
      </c>
      <c r="AE71" s="9">
        <f t="shared" si="31"/>
        <v>233.71058979939062</v>
      </c>
      <c r="AF71" s="9">
        <f t="shared" si="32"/>
        <v>245.55234779147099</v>
      </c>
      <c r="AG71" s="9">
        <f t="shared" si="33"/>
        <v>251.47293818790746</v>
      </c>
      <c r="AH71" s="9">
        <f t="shared" si="34"/>
        <v>259.96936264082484</v>
      </c>
      <c r="AI71" s="9">
        <f t="shared" si="35"/>
        <v>265.20220477398283</v>
      </c>
      <c r="AJ71" s="9">
        <f t="shared" si="36"/>
        <v>272.08610843380416</v>
      </c>
      <c r="AK71" s="9">
        <f t="shared" si="37"/>
        <v>281.96539668850767</v>
      </c>
      <c r="AL71" s="9">
        <f t="shared" si="38"/>
        <v>292.46440669100377</v>
      </c>
      <c r="AM71" s="9">
        <f t="shared" si="39"/>
        <v>298.87111275181917</v>
      </c>
      <c r="AN71" s="51">
        <f t="shared" si="40"/>
        <v>292.37612429432755</v>
      </c>
      <c r="AR71" s="9">
        <f t="shared" si="41"/>
        <v>-46.342814664973048</v>
      </c>
      <c r="AS71" s="9">
        <f t="shared" si="41"/>
        <v>-39.439410200609359</v>
      </c>
      <c r="AT71" s="9">
        <f t="shared" si="41"/>
        <v>-27.597652208528984</v>
      </c>
      <c r="AU71" s="9">
        <f t="shared" si="41"/>
        <v>-21.677061812092518</v>
      </c>
      <c r="AV71" s="9">
        <f t="shared" si="41"/>
        <v>-13.180637359175137</v>
      </c>
      <c r="AW71" s="9">
        <f t="shared" si="41"/>
        <v>-7.9477952260171492</v>
      </c>
      <c r="AX71" s="9">
        <f t="shared" si="41"/>
        <v>-1.0638915661958208</v>
      </c>
      <c r="AY71" s="9">
        <f t="shared" si="41"/>
        <v>8.8153966885076898</v>
      </c>
      <c r="AZ71" s="9">
        <f t="shared" si="41"/>
        <v>19.314406691003796</v>
      </c>
      <c r="BA71" s="9">
        <f t="shared" si="41"/>
        <v>25.721112751819192</v>
      </c>
      <c r="BB71" s="51">
        <f t="shared" si="41"/>
        <v>19.226124294327576</v>
      </c>
      <c r="BC71">
        <f t="shared" si="42"/>
        <v>710</v>
      </c>
    </row>
    <row r="72" spans="3:55" x14ac:dyDescent="0.25">
      <c r="C72">
        <f t="shared" si="43"/>
        <v>660</v>
      </c>
      <c r="D72" s="9">
        <f t="shared" si="28"/>
        <v>0.10609226812409581</v>
      </c>
      <c r="E72" s="9">
        <f t="shared" si="28"/>
        <v>0.21215043394406946</v>
      </c>
      <c r="F72" s="9">
        <f t="shared" si="28"/>
        <v>0.63604240282685498</v>
      </c>
      <c r="G72" s="9">
        <f t="shared" si="28"/>
        <v>1.0593900481540932</v>
      </c>
      <c r="H72" s="9">
        <f t="shared" si="28"/>
        <v>2.1153846153846154</v>
      </c>
      <c r="I72" s="9">
        <f t="shared" si="28"/>
        <v>3.1680000000000001</v>
      </c>
      <c r="J72" s="9">
        <f t="shared" si="28"/>
        <v>5.2631578947368425</v>
      </c>
      <c r="K72" s="9">
        <f t="shared" si="28"/>
        <v>10.443037974683545</v>
      </c>
      <c r="L72" s="9">
        <f t="shared" si="28"/>
        <v>20.560747663551403</v>
      </c>
      <c r="M72" s="9">
        <f t="shared" si="28"/>
        <v>30.368098159509202</v>
      </c>
      <c r="N72" s="51">
        <f t="shared" si="28"/>
        <v>20.448105146639794</v>
      </c>
      <c r="Q72" s="9">
        <f t="shared" si="44"/>
        <v>-4.0533728826780528</v>
      </c>
      <c r="R72" s="9">
        <f t="shared" si="44"/>
        <v>-3.3603864350606698</v>
      </c>
      <c r="S72" s="9">
        <f t="shared" si="44"/>
        <v>-2.2624168199365315</v>
      </c>
      <c r="T72" s="9">
        <f t="shared" si="44"/>
        <v>-1.7522334569504858</v>
      </c>
      <c r="U72" s="9">
        <f t="shared" si="44"/>
        <v>-1.0606901259725152</v>
      </c>
      <c r="V72" s="9">
        <f t="shared" si="44"/>
        <v>-0.65682629923132463</v>
      </c>
      <c r="W72" s="9">
        <f t="shared" si="44"/>
        <v>-0.14919556636185297</v>
      </c>
      <c r="X72" s="9">
        <f t="shared" si="44"/>
        <v>0.53600876068415548</v>
      </c>
      <c r="Y72" s="9">
        <f t="shared" si="44"/>
        <v>1.2134570317009972</v>
      </c>
      <c r="Z72" s="9">
        <f t="shared" si="44"/>
        <v>1.6034658815724696</v>
      </c>
      <c r="AA72" s="51">
        <f t="shared" si="44"/>
        <v>1.2079634471462768</v>
      </c>
      <c r="AD72" s="9">
        <f t="shared" si="30"/>
        <v>226.10340091307847</v>
      </c>
      <c r="AE72" s="9">
        <f t="shared" si="31"/>
        <v>232.96338130845072</v>
      </c>
      <c r="AF72" s="9">
        <f t="shared" si="32"/>
        <v>244.72763477411669</v>
      </c>
      <c r="AG72" s="9">
        <f t="shared" si="33"/>
        <v>250.60804592500543</v>
      </c>
      <c r="AH72" s="9">
        <f t="shared" si="34"/>
        <v>259.04514686894225</v>
      </c>
      <c r="AI72" s="9">
        <f t="shared" si="35"/>
        <v>264.24047686231546</v>
      </c>
      <c r="AJ72" s="9">
        <f t="shared" si="36"/>
        <v>271.07390030780675</v>
      </c>
      <c r="AK72" s="9">
        <f t="shared" si="37"/>
        <v>280.87849553360945</v>
      </c>
      <c r="AL72" s="9">
        <f t="shared" si="38"/>
        <v>291.29522466490363</v>
      </c>
      <c r="AM72" s="9">
        <f t="shared" si="39"/>
        <v>297.65025253578864</v>
      </c>
      <c r="AN72" s="51">
        <f t="shared" si="40"/>
        <v>291.20764660296101</v>
      </c>
      <c r="AR72" s="9">
        <f t="shared" si="41"/>
        <v>-47.046599086921503</v>
      </c>
      <c r="AS72" s="9">
        <f t="shared" si="41"/>
        <v>-40.186618691549256</v>
      </c>
      <c r="AT72" s="9">
        <f t="shared" si="41"/>
        <v>-28.422365225883283</v>
      </c>
      <c r="AU72" s="9">
        <f t="shared" si="41"/>
        <v>-22.54195407499455</v>
      </c>
      <c r="AV72" s="9">
        <f t="shared" si="41"/>
        <v>-14.104853131057723</v>
      </c>
      <c r="AW72" s="9">
        <f t="shared" si="41"/>
        <v>-8.9095231376845163</v>
      </c>
      <c r="AX72" s="9">
        <f t="shared" si="41"/>
        <v>-2.0760996921932247</v>
      </c>
      <c r="AY72" s="9">
        <f t="shared" si="41"/>
        <v>7.7284955336094754</v>
      </c>
      <c r="AZ72" s="9">
        <f t="shared" si="41"/>
        <v>18.145224664903651</v>
      </c>
      <c r="BA72" s="9">
        <f t="shared" si="41"/>
        <v>24.500252535788661</v>
      </c>
      <c r="BB72" s="51">
        <f t="shared" si="41"/>
        <v>18.057646602961029</v>
      </c>
      <c r="BC72">
        <f t="shared" si="42"/>
        <v>660</v>
      </c>
    </row>
    <row r="73" spans="3:55" x14ac:dyDescent="0.25">
      <c r="C73">
        <f t="shared" si="43"/>
        <v>610</v>
      </c>
      <c r="D73" s="9">
        <f t="shared" si="28"/>
        <v>9.8054975084391593E-2</v>
      </c>
      <c r="E73" s="9">
        <f t="shared" si="28"/>
        <v>0.19607843137254904</v>
      </c>
      <c r="F73" s="9">
        <f t="shared" si="28"/>
        <v>0.58785737230966906</v>
      </c>
      <c r="G73" s="9">
        <f t="shared" si="28"/>
        <v>0.97913322632423749</v>
      </c>
      <c r="H73" s="9">
        <f t="shared" si="28"/>
        <v>1.9551282051282051</v>
      </c>
      <c r="I73" s="9">
        <f t="shared" si="28"/>
        <v>2.9279999999999999</v>
      </c>
      <c r="J73" s="9">
        <f t="shared" si="28"/>
        <v>4.8644338118022334</v>
      </c>
      <c r="K73" s="9">
        <f t="shared" si="28"/>
        <v>9.651898734177216</v>
      </c>
      <c r="L73" s="9">
        <f t="shared" si="28"/>
        <v>19.003115264797508</v>
      </c>
      <c r="M73" s="9">
        <f t="shared" si="28"/>
        <v>28.067484662576689</v>
      </c>
      <c r="N73" s="51">
        <f t="shared" si="28"/>
        <v>18.899006271894354</v>
      </c>
      <c r="Q73" s="9">
        <f t="shared" si="44"/>
        <v>-4.1321537605311667</v>
      </c>
      <c r="R73" s="9">
        <f t="shared" si="44"/>
        <v>-3.4391673129137841</v>
      </c>
      <c r="S73" s="9">
        <f t="shared" si="44"/>
        <v>-2.3411976977896458</v>
      </c>
      <c r="T73" s="9">
        <f t="shared" si="44"/>
        <v>-1.8310143348036003</v>
      </c>
      <c r="U73" s="9">
        <f t="shared" si="44"/>
        <v>-1.1394710038256295</v>
      </c>
      <c r="V73" s="9">
        <f t="shared" si="44"/>
        <v>-0.7356071770844389</v>
      </c>
      <c r="W73" s="9">
        <f t="shared" si="44"/>
        <v>-0.22797644421496727</v>
      </c>
      <c r="X73" s="9">
        <f t="shared" si="44"/>
        <v>0.45722788283104121</v>
      </c>
      <c r="Y73" s="9">
        <f t="shared" si="44"/>
        <v>1.1346761538478827</v>
      </c>
      <c r="Z73" s="9">
        <f t="shared" si="44"/>
        <v>1.5246850037193553</v>
      </c>
      <c r="AA73" s="51">
        <f t="shared" si="44"/>
        <v>1.1291825692931625</v>
      </c>
      <c r="AD73" s="9">
        <f t="shared" si="30"/>
        <v>225.34902645752857</v>
      </c>
      <c r="AE73" s="9">
        <f t="shared" si="31"/>
        <v>232.16261803413431</v>
      </c>
      <c r="AF73" s="9">
        <f t="shared" si="32"/>
        <v>243.84410849188575</v>
      </c>
      <c r="AG73" s="9">
        <f t="shared" si="33"/>
        <v>249.68163046302254</v>
      </c>
      <c r="AH73" s="9">
        <f t="shared" si="34"/>
        <v>258.05542617986123</v>
      </c>
      <c r="AI73" s="9">
        <f t="shared" si="35"/>
        <v>263.21073791259312</v>
      </c>
      <c r="AJ73" s="9">
        <f t="shared" si="36"/>
        <v>269.99032251648742</v>
      </c>
      <c r="AK73" s="9">
        <f t="shared" si="37"/>
        <v>279.71528351723788</v>
      </c>
      <c r="AL73" s="9">
        <f t="shared" si="38"/>
        <v>290.04432656466872</v>
      </c>
      <c r="AM73" s="9">
        <f t="shared" si="39"/>
        <v>296.3443010968453</v>
      </c>
      <c r="AN73" s="51">
        <f t="shared" si="40"/>
        <v>289.95749894196433</v>
      </c>
      <c r="AR73" s="9">
        <f t="shared" si="41"/>
        <v>-47.800973542471411</v>
      </c>
      <c r="AS73" s="9">
        <f t="shared" si="41"/>
        <v>-40.987381965865666</v>
      </c>
      <c r="AT73" s="9">
        <f t="shared" si="41"/>
        <v>-29.305891508114229</v>
      </c>
      <c r="AU73" s="9">
        <f t="shared" si="41"/>
        <v>-23.468369536977434</v>
      </c>
      <c r="AV73" s="9">
        <f t="shared" si="41"/>
        <v>-15.094573820138748</v>
      </c>
      <c r="AW73" s="9">
        <f t="shared" si="41"/>
        <v>-9.9392620874068598</v>
      </c>
      <c r="AX73" s="9">
        <f t="shared" si="41"/>
        <v>-3.159677483512553</v>
      </c>
      <c r="AY73" s="9">
        <f t="shared" si="41"/>
        <v>6.5652835172379014</v>
      </c>
      <c r="AZ73" s="9">
        <f t="shared" si="41"/>
        <v>16.894326564668745</v>
      </c>
      <c r="BA73" s="9">
        <f t="shared" si="41"/>
        <v>23.194301096845322</v>
      </c>
      <c r="BB73" s="51">
        <f t="shared" si="41"/>
        <v>16.807498941964354</v>
      </c>
      <c r="BC73">
        <f t="shared" si="42"/>
        <v>610</v>
      </c>
    </row>
    <row r="74" spans="3:55" x14ac:dyDescent="0.25">
      <c r="C74">
        <f t="shared" si="43"/>
        <v>560</v>
      </c>
      <c r="D74" s="9">
        <f t="shared" si="28"/>
        <v>9.0017682044687353E-2</v>
      </c>
      <c r="E74" s="9">
        <f t="shared" si="28"/>
        <v>0.18000642880102863</v>
      </c>
      <c r="F74" s="9">
        <f t="shared" si="28"/>
        <v>0.53967234179248302</v>
      </c>
      <c r="G74" s="9">
        <f t="shared" si="28"/>
        <v>0.89887640449438211</v>
      </c>
      <c r="H74" s="9">
        <f t="shared" si="28"/>
        <v>1.7948717948717949</v>
      </c>
      <c r="I74" s="9">
        <f t="shared" si="28"/>
        <v>2.6879999999999997</v>
      </c>
      <c r="J74" s="9">
        <f t="shared" si="28"/>
        <v>4.4657097288676244</v>
      </c>
      <c r="K74" s="9">
        <f t="shared" si="28"/>
        <v>8.8607594936708871</v>
      </c>
      <c r="L74" s="9">
        <f t="shared" si="28"/>
        <v>17.445482866043616</v>
      </c>
      <c r="M74" s="9">
        <f t="shared" si="28"/>
        <v>25.766871165644172</v>
      </c>
      <c r="N74" s="51">
        <f t="shared" si="28"/>
        <v>17.349907397148915</v>
      </c>
      <c r="Q74" s="9">
        <f t="shared" si="44"/>
        <v>-4.2176759339693293</v>
      </c>
      <c r="R74" s="9">
        <f t="shared" si="44"/>
        <v>-3.5246894863519458</v>
      </c>
      <c r="S74" s="9">
        <f t="shared" si="44"/>
        <v>-2.4267198712278075</v>
      </c>
      <c r="T74" s="9">
        <f t="shared" si="44"/>
        <v>-1.9165365082417622</v>
      </c>
      <c r="U74" s="9">
        <f t="shared" si="44"/>
        <v>-1.2249931772637914</v>
      </c>
      <c r="V74" s="9">
        <f t="shared" si="44"/>
        <v>-0.82112935052260094</v>
      </c>
      <c r="W74" s="9">
        <f t="shared" si="44"/>
        <v>-0.31349861765312925</v>
      </c>
      <c r="X74" s="9">
        <f t="shared" si="44"/>
        <v>0.37170570939287922</v>
      </c>
      <c r="Y74" s="9">
        <f t="shared" si="44"/>
        <v>1.0491539804097207</v>
      </c>
      <c r="Z74" s="9">
        <f t="shared" si="44"/>
        <v>1.4391628302811932</v>
      </c>
      <c r="AA74" s="51">
        <f t="shared" si="44"/>
        <v>1.0436603958550004</v>
      </c>
      <c r="AD74" s="9">
        <f t="shared" si="30"/>
        <v>224.53577781944725</v>
      </c>
      <c r="AE74" s="9">
        <f t="shared" si="31"/>
        <v>231.29954177304916</v>
      </c>
      <c r="AF74" s="9">
        <f t="shared" si="32"/>
        <v>242.89217218215927</v>
      </c>
      <c r="AG74" s="9">
        <f t="shared" si="33"/>
        <v>248.68366397990937</v>
      </c>
      <c r="AH74" s="9">
        <f t="shared" si="34"/>
        <v>256.98954068964167</v>
      </c>
      <c r="AI74" s="9">
        <f t="shared" si="35"/>
        <v>262.10193098708669</v>
      </c>
      <c r="AJ74" s="9">
        <f t="shared" si="36"/>
        <v>268.82378691132556</v>
      </c>
      <c r="AK74" s="9">
        <f t="shared" si="37"/>
        <v>278.46339281614115</v>
      </c>
      <c r="AL74" s="9">
        <f t="shared" si="38"/>
        <v>288.69849410113034</v>
      </c>
      <c r="AM74" s="9">
        <f t="shared" si="39"/>
        <v>294.93951033898611</v>
      </c>
      <c r="AN74" s="51">
        <f t="shared" si="40"/>
        <v>288.61247026587279</v>
      </c>
      <c r="AR74" s="9">
        <f t="shared" si="41"/>
        <v>-48.61422218055273</v>
      </c>
      <c r="AS74" s="9">
        <f t="shared" si="41"/>
        <v>-41.850458226950821</v>
      </c>
      <c r="AT74" s="9">
        <f t="shared" si="41"/>
        <v>-30.257827817840706</v>
      </c>
      <c r="AU74" s="9">
        <f t="shared" si="41"/>
        <v>-24.466336020090608</v>
      </c>
      <c r="AV74" s="9">
        <f t="shared" si="41"/>
        <v>-16.160459310358306</v>
      </c>
      <c r="AW74" s="9">
        <f t="shared" si="41"/>
        <v>-11.048069012913288</v>
      </c>
      <c r="AX74" s="9">
        <f t="shared" si="41"/>
        <v>-4.3262130886744217</v>
      </c>
      <c r="AY74" s="9">
        <f t="shared" si="41"/>
        <v>5.3133928161411745</v>
      </c>
      <c r="AZ74" s="9">
        <f t="shared" si="41"/>
        <v>15.548494101130359</v>
      </c>
      <c r="BA74" s="9">
        <f t="shared" si="41"/>
        <v>21.789510338986133</v>
      </c>
      <c r="BB74" s="51">
        <f t="shared" si="41"/>
        <v>15.46247026587281</v>
      </c>
      <c r="BC74">
        <f t="shared" si="42"/>
        <v>560</v>
      </c>
    </row>
    <row r="75" spans="3:55" x14ac:dyDescent="0.25">
      <c r="C75">
        <f t="shared" si="43"/>
        <v>510</v>
      </c>
      <c r="D75" s="9">
        <f t="shared" si="28"/>
        <v>8.1980389004983126E-2</v>
      </c>
      <c r="E75" s="9">
        <f t="shared" si="28"/>
        <v>0.16393442622950821</v>
      </c>
      <c r="F75" s="9">
        <f t="shared" si="28"/>
        <v>0.4914873112752971</v>
      </c>
      <c r="G75" s="9">
        <f t="shared" si="28"/>
        <v>0.8186195826645265</v>
      </c>
      <c r="H75" s="9">
        <f t="shared" si="28"/>
        <v>1.6346153846153846</v>
      </c>
      <c r="I75" s="9">
        <f t="shared" si="28"/>
        <v>2.448</v>
      </c>
      <c r="J75" s="9">
        <f t="shared" si="28"/>
        <v>4.0669856459330145</v>
      </c>
      <c r="K75" s="9">
        <f t="shared" si="28"/>
        <v>8.0696202531645582</v>
      </c>
      <c r="L75" s="9">
        <f t="shared" si="28"/>
        <v>15.88785046728972</v>
      </c>
      <c r="M75" s="9">
        <f t="shared" si="28"/>
        <v>23.466257668711656</v>
      </c>
      <c r="N75" s="51">
        <f t="shared" si="28"/>
        <v>15.800808522403475</v>
      </c>
      <c r="Q75" s="9">
        <f t="shared" si="44"/>
        <v>-4.3112019919801519</v>
      </c>
      <c r="R75" s="9">
        <f t="shared" si="44"/>
        <v>-3.6182155443627697</v>
      </c>
      <c r="S75" s="9">
        <f t="shared" si="44"/>
        <v>-2.520245929238631</v>
      </c>
      <c r="T75" s="9">
        <f t="shared" si="44"/>
        <v>-2.0100625662525857</v>
      </c>
      <c r="U75" s="9">
        <f t="shared" si="44"/>
        <v>-1.3185192352746149</v>
      </c>
      <c r="V75" s="9">
        <f t="shared" si="44"/>
        <v>-0.91465540853342442</v>
      </c>
      <c r="W75" s="9">
        <f t="shared" si="44"/>
        <v>-0.4070246756639529</v>
      </c>
      <c r="X75" s="9">
        <f t="shared" si="44"/>
        <v>0.27817965138205586</v>
      </c>
      <c r="Y75" s="9">
        <f t="shared" si="44"/>
        <v>0.95562792239889727</v>
      </c>
      <c r="Z75" s="9">
        <f t="shared" si="44"/>
        <v>1.3456367722703697</v>
      </c>
      <c r="AA75" s="51">
        <f t="shared" si="44"/>
        <v>0.95013433784417678</v>
      </c>
      <c r="AD75" s="9">
        <f t="shared" si="30"/>
        <v>223.65311160478174</v>
      </c>
      <c r="AE75" s="9">
        <f t="shared" si="31"/>
        <v>230.36300783513232</v>
      </c>
      <c r="AF75" s="9">
        <f t="shared" si="32"/>
        <v>241.85961790919876</v>
      </c>
      <c r="AG75" s="9">
        <f t="shared" si="33"/>
        <v>247.60139216947394</v>
      </c>
      <c r="AH75" s="9">
        <f t="shared" si="34"/>
        <v>255.8339351733095</v>
      </c>
      <c r="AI75" s="9">
        <f t="shared" si="35"/>
        <v>260.89999786563357</v>
      </c>
      <c r="AJ75" s="9">
        <f t="shared" si="36"/>
        <v>267.559562480144</v>
      </c>
      <c r="AK75" s="9">
        <f t="shared" si="37"/>
        <v>277.10710525444205</v>
      </c>
      <c r="AL75" s="9">
        <f t="shared" si="38"/>
        <v>287.24093271689787</v>
      </c>
      <c r="AM75" s="9">
        <f t="shared" si="39"/>
        <v>293.41841537233381</v>
      </c>
      <c r="AN75" s="51">
        <f t="shared" si="40"/>
        <v>287.15577518342451</v>
      </c>
      <c r="AR75" s="9">
        <f t="shared" si="41"/>
        <v>-49.496888395218235</v>
      </c>
      <c r="AS75" s="9">
        <f t="shared" si="41"/>
        <v>-42.786992164867655</v>
      </c>
      <c r="AT75" s="9">
        <f t="shared" si="41"/>
        <v>-31.290382090801216</v>
      </c>
      <c r="AU75" s="9">
        <f t="shared" si="41"/>
        <v>-25.548607830526038</v>
      </c>
      <c r="AV75" s="9">
        <f t="shared" si="41"/>
        <v>-17.316064826690479</v>
      </c>
      <c r="AW75" s="9">
        <f t="shared" si="41"/>
        <v>-12.250002134366412</v>
      </c>
      <c r="AX75" s="9">
        <f t="shared" si="41"/>
        <v>-5.5904375198559819</v>
      </c>
      <c r="AY75" s="9">
        <f t="shared" si="41"/>
        <v>3.9571052544420695</v>
      </c>
      <c r="AZ75" s="9">
        <f t="shared" si="41"/>
        <v>14.090932716897896</v>
      </c>
      <c r="BA75" s="9">
        <f t="shared" si="41"/>
        <v>20.268415372333834</v>
      </c>
      <c r="BB75" s="51">
        <f t="shared" si="41"/>
        <v>14.005775183424532</v>
      </c>
      <c r="BC75">
        <f t="shared" si="42"/>
        <v>510</v>
      </c>
    </row>
    <row r="76" spans="3:55" x14ac:dyDescent="0.25">
      <c r="C76">
        <f t="shared" si="43"/>
        <v>460</v>
      </c>
      <c r="D76" s="9">
        <f t="shared" si="28"/>
        <v>7.3943095965278899E-2</v>
      </c>
      <c r="E76" s="9">
        <f t="shared" si="28"/>
        <v>0.1478624236579878</v>
      </c>
      <c r="F76" s="9">
        <f t="shared" si="28"/>
        <v>0.44330228075811107</v>
      </c>
      <c r="G76" s="9">
        <f t="shared" si="28"/>
        <v>0.73836276083467101</v>
      </c>
      <c r="H76" s="9">
        <f t="shared" si="28"/>
        <v>1.4743589743589745</v>
      </c>
      <c r="I76" s="9">
        <f t="shared" si="28"/>
        <v>2.2080000000000002</v>
      </c>
      <c r="J76" s="9">
        <f t="shared" si="28"/>
        <v>3.6682615629984054</v>
      </c>
      <c r="K76" s="9">
        <f t="shared" si="28"/>
        <v>7.2784810126582284</v>
      </c>
      <c r="L76" s="9">
        <f t="shared" si="28"/>
        <v>14.330218068535826</v>
      </c>
      <c r="M76" s="9">
        <f t="shared" si="28"/>
        <v>21.165644171779139</v>
      </c>
      <c r="N76" s="51">
        <f t="shared" si="28"/>
        <v>14.251709647658037</v>
      </c>
      <c r="Q76" s="9">
        <f t="shared" si="44"/>
        <v>-4.414386228215383</v>
      </c>
      <c r="R76" s="9">
        <f t="shared" si="44"/>
        <v>-3.7213997805980004</v>
      </c>
      <c r="S76" s="9">
        <f t="shared" si="44"/>
        <v>-2.6234301654738621</v>
      </c>
      <c r="T76" s="9">
        <f t="shared" si="44"/>
        <v>-2.1132468024878164</v>
      </c>
      <c r="U76" s="9">
        <f t="shared" si="44"/>
        <v>-1.4217034715098456</v>
      </c>
      <c r="V76" s="9">
        <f t="shared" si="44"/>
        <v>-1.0178396447686551</v>
      </c>
      <c r="W76" s="9">
        <f t="shared" si="44"/>
        <v>-0.51020891189918349</v>
      </c>
      <c r="X76" s="9">
        <f t="shared" si="44"/>
        <v>0.17499541514682493</v>
      </c>
      <c r="Y76" s="9">
        <f t="shared" si="44"/>
        <v>0.85244368616366661</v>
      </c>
      <c r="Z76" s="9">
        <f t="shared" si="44"/>
        <v>1.2424525360351391</v>
      </c>
      <c r="AA76" s="51">
        <f t="shared" si="44"/>
        <v>0.84695010160894602</v>
      </c>
      <c r="AD76" s="9">
        <f t="shared" si="30"/>
        <v>222.68731172209073</v>
      </c>
      <c r="AE76" s="9">
        <f t="shared" si="31"/>
        <v>229.3385207723191</v>
      </c>
      <c r="AF76" s="9">
        <f t="shared" si="32"/>
        <v>240.73057267345973</v>
      </c>
      <c r="AG76" s="9">
        <f t="shared" si="33"/>
        <v>246.41823441398174</v>
      </c>
      <c r="AH76" s="9">
        <f t="shared" si="34"/>
        <v>254.57099203661244</v>
      </c>
      <c r="AI76" s="9">
        <f t="shared" si="35"/>
        <v>259.5866698950303</v>
      </c>
      <c r="AJ76" s="9">
        <f t="shared" si="36"/>
        <v>266.17850995027493</v>
      </c>
      <c r="AK76" s="9">
        <f t="shared" si="37"/>
        <v>275.62600457097</v>
      </c>
      <c r="AL76" s="9">
        <f t="shared" si="38"/>
        <v>285.64983432842831</v>
      </c>
      <c r="AM76" s="9">
        <f t="shared" si="39"/>
        <v>291.75834163059949</v>
      </c>
      <c r="AN76" s="51">
        <f t="shared" si="40"/>
        <v>285.56561746091575</v>
      </c>
      <c r="AR76" s="9">
        <f t="shared" si="41"/>
        <v>-50.462688277909251</v>
      </c>
      <c r="AS76" s="9">
        <f t="shared" si="41"/>
        <v>-43.811479227680877</v>
      </c>
      <c r="AT76" s="9">
        <f t="shared" si="41"/>
        <v>-32.419427326540244</v>
      </c>
      <c r="AU76" s="9">
        <f t="shared" si="41"/>
        <v>-26.731765586018241</v>
      </c>
      <c r="AV76" s="9">
        <f t="shared" si="41"/>
        <v>-18.579007963387539</v>
      </c>
      <c r="AW76" s="9">
        <f t="shared" si="41"/>
        <v>-13.56333010496968</v>
      </c>
      <c r="AX76" s="9">
        <f t="shared" si="41"/>
        <v>-6.9714900497250483</v>
      </c>
      <c r="AY76" s="9">
        <f t="shared" si="41"/>
        <v>2.4760045709700194</v>
      </c>
      <c r="AZ76" s="9">
        <f t="shared" si="41"/>
        <v>12.499834328428335</v>
      </c>
      <c r="BA76" s="9">
        <f t="shared" si="41"/>
        <v>18.608341630599512</v>
      </c>
      <c r="BB76" s="51">
        <f t="shared" si="41"/>
        <v>12.415617460915769</v>
      </c>
      <c r="BC76">
        <f t="shared" si="42"/>
        <v>460</v>
      </c>
    </row>
    <row r="77" spans="3:55" x14ac:dyDescent="0.25">
      <c r="C77">
        <f t="shared" si="43"/>
        <v>410</v>
      </c>
      <c r="D77" s="9">
        <f t="shared" si="28"/>
        <v>6.5905802925574672E-2</v>
      </c>
      <c r="E77" s="9">
        <f t="shared" si="28"/>
        <v>0.13179042108646738</v>
      </c>
      <c r="F77" s="9">
        <f t="shared" si="28"/>
        <v>0.39511725024092509</v>
      </c>
      <c r="G77" s="9">
        <f t="shared" si="28"/>
        <v>0.65810593900481551</v>
      </c>
      <c r="H77" s="9">
        <f t="shared" si="28"/>
        <v>1.3141025641025641</v>
      </c>
      <c r="I77" s="9">
        <f t="shared" si="28"/>
        <v>1.968</v>
      </c>
      <c r="J77" s="9">
        <f t="shared" si="28"/>
        <v>3.2695374800637955</v>
      </c>
      <c r="K77" s="9">
        <f t="shared" si="28"/>
        <v>6.4873417721518978</v>
      </c>
      <c r="L77" s="9">
        <f t="shared" si="28"/>
        <v>12.772585669781931</v>
      </c>
      <c r="M77" s="9">
        <f t="shared" si="28"/>
        <v>18.865030674846622</v>
      </c>
      <c r="N77" s="51">
        <f t="shared" si="28"/>
        <v>12.702610772912598</v>
      </c>
      <c r="Q77" s="9">
        <f t="shared" si="44"/>
        <v>-4.5294555580001701</v>
      </c>
      <c r="R77" s="9">
        <f t="shared" si="44"/>
        <v>-3.8364691103827875</v>
      </c>
      <c r="S77" s="9">
        <f t="shared" si="44"/>
        <v>-2.7384994952586492</v>
      </c>
      <c r="T77" s="9">
        <f t="shared" si="44"/>
        <v>-2.2283161322726035</v>
      </c>
      <c r="U77" s="9">
        <f t="shared" si="44"/>
        <v>-1.5367728012946329</v>
      </c>
      <c r="V77" s="9">
        <f t="shared" si="44"/>
        <v>-1.1329089745534422</v>
      </c>
      <c r="W77" s="9">
        <f t="shared" si="44"/>
        <v>-0.62527824168397084</v>
      </c>
      <c r="X77" s="9">
        <f t="shared" si="44"/>
        <v>5.9926085362037584E-2</v>
      </c>
      <c r="Y77" s="9">
        <f t="shared" si="44"/>
        <v>0.73737435637887938</v>
      </c>
      <c r="Z77" s="9">
        <f t="shared" si="44"/>
        <v>1.1273832062503517</v>
      </c>
      <c r="AA77" s="51">
        <f t="shared" si="44"/>
        <v>0.73188077182415889</v>
      </c>
      <c r="AD77" s="9">
        <f t="shared" si="30"/>
        <v>221.62005844176542</v>
      </c>
      <c r="AE77" s="9">
        <f t="shared" si="31"/>
        <v>228.20672412129258</v>
      </c>
      <c r="AF77" s="9">
        <f t="shared" si="32"/>
        <v>239.48384833429421</v>
      </c>
      <c r="AG77" s="9">
        <f t="shared" si="33"/>
        <v>245.11206206454497</v>
      </c>
      <c r="AH77" s="9">
        <f t="shared" si="34"/>
        <v>253.17720482158279</v>
      </c>
      <c r="AI77" s="9">
        <f t="shared" si="35"/>
        <v>258.1375758385413</v>
      </c>
      <c r="AJ77" s="9">
        <f t="shared" si="36"/>
        <v>264.65510198846385</v>
      </c>
      <c r="AK77" s="9">
        <f t="shared" si="37"/>
        <v>273.99286835636707</v>
      </c>
      <c r="AL77" s="9">
        <f t="shared" si="38"/>
        <v>283.89612985649546</v>
      </c>
      <c r="AM77" s="9">
        <f t="shared" si="39"/>
        <v>289.92907081265946</v>
      </c>
      <c r="AN77" s="51">
        <f t="shared" si="40"/>
        <v>283.81294373788865</v>
      </c>
      <c r="AR77" s="9">
        <f t="shared" si="41"/>
        <v>-51.529941558234555</v>
      </c>
      <c r="AS77" s="9">
        <f t="shared" si="41"/>
        <v>-44.943275878707396</v>
      </c>
      <c r="AT77" s="9">
        <f t="shared" si="41"/>
        <v>-33.666151665705769</v>
      </c>
      <c r="AU77" s="9">
        <f t="shared" si="41"/>
        <v>-28.037937935455005</v>
      </c>
      <c r="AV77" s="9">
        <f t="shared" si="41"/>
        <v>-19.972795178417186</v>
      </c>
      <c r="AW77" s="9">
        <f t="shared" si="41"/>
        <v>-15.012424161458682</v>
      </c>
      <c r="AX77" s="9">
        <f t="shared" si="41"/>
        <v>-8.4948980115361223</v>
      </c>
      <c r="AY77" s="9">
        <f t="shared" si="41"/>
        <v>0.84286835636709156</v>
      </c>
      <c r="AZ77" s="9">
        <f t="shared" si="41"/>
        <v>10.746129856495486</v>
      </c>
      <c r="BA77" s="9">
        <f t="shared" si="41"/>
        <v>16.779070812659484</v>
      </c>
      <c r="BB77" s="51">
        <f t="shared" si="41"/>
        <v>10.662943737888668</v>
      </c>
      <c r="BC77">
        <f t="shared" si="42"/>
        <v>410</v>
      </c>
    </row>
    <row r="78" spans="3:55" x14ac:dyDescent="0.25">
      <c r="C78">
        <f t="shared" si="43"/>
        <v>360</v>
      </c>
      <c r="D78" s="9">
        <f t="shared" si="28"/>
        <v>5.7868509885870445E-2</v>
      </c>
      <c r="E78" s="9">
        <f t="shared" si="28"/>
        <v>0.11571841851494698</v>
      </c>
      <c r="F78" s="9">
        <f t="shared" si="28"/>
        <v>0.34693221972373911</v>
      </c>
      <c r="G78" s="9">
        <f t="shared" si="28"/>
        <v>0.5778491171749599</v>
      </c>
      <c r="H78" s="9">
        <f t="shared" si="28"/>
        <v>1.1538461538461537</v>
      </c>
      <c r="I78" s="9">
        <f t="shared" si="28"/>
        <v>1.7280000000000002</v>
      </c>
      <c r="J78" s="9">
        <f t="shared" si="28"/>
        <v>2.8708133971291865</v>
      </c>
      <c r="K78" s="9">
        <f t="shared" si="28"/>
        <v>5.6962025316455698</v>
      </c>
      <c r="L78" s="9">
        <f t="shared" si="28"/>
        <v>11.214953271028037</v>
      </c>
      <c r="M78" s="9">
        <f t="shared" si="28"/>
        <v>16.564417177914109</v>
      </c>
      <c r="N78" s="51">
        <f t="shared" si="28"/>
        <v>11.15351189816716</v>
      </c>
      <c r="Q78" s="9">
        <f t="shared" si="44"/>
        <v>-4.6595086862483681</v>
      </c>
      <c r="R78" s="9">
        <f t="shared" si="44"/>
        <v>-3.9665222386309851</v>
      </c>
      <c r="S78" s="9">
        <f t="shared" si="44"/>
        <v>-2.8685526235068468</v>
      </c>
      <c r="T78" s="9">
        <f t="shared" si="44"/>
        <v>-2.3583692605208015</v>
      </c>
      <c r="U78" s="9">
        <f t="shared" si="44"/>
        <v>-1.6668259295428309</v>
      </c>
      <c r="V78" s="9">
        <f t="shared" si="44"/>
        <v>-1.26296210280164</v>
      </c>
      <c r="W78" s="9">
        <f t="shared" si="44"/>
        <v>-0.75533136993216865</v>
      </c>
      <c r="X78" s="9">
        <f t="shared" si="44"/>
        <v>-7.0127042886160049E-2</v>
      </c>
      <c r="Y78" s="9">
        <f t="shared" si="44"/>
        <v>0.60732122813068146</v>
      </c>
      <c r="Z78" s="9">
        <f t="shared" si="44"/>
        <v>0.99733007800215401</v>
      </c>
      <c r="AA78" s="51">
        <f t="shared" si="44"/>
        <v>0.60182764357596119</v>
      </c>
      <c r="AD78" s="9">
        <f t="shared" si="30"/>
        <v>220.42608071841957</v>
      </c>
      <c r="AE78" s="9">
        <f t="shared" si="31"/>
        <v>226.94092312235961</v>
      </c>
      <c r="AF78" s="9">
        <f t="shared" si="32"/>
        <v>238.09023595985951</v>
      </c>
      <c r="AG78" s="9">
        <f t="shared" si="33"/>
        <v>243.65237582392461</v>
      </c>
      <c r="AH78" s="9">
        <f t="shared" si="34"/>
        <v>251.62018458342092</v>
      </c>
      <c r="AI78" s="9">
        <f t="shared" si="35"/>
        <v>256.51914112625883</v>
      </c>
      <c r="AJ78" s="9">
        <f t="shared" si="36"/>
        <v>262.95417947744073</v>
      </c>
      <c r="AK78" s="9">
        <f t="shared" si="37"/>
        <v>272.17021518426691</v>
      </c>
      <c r="AL78" s="9">
        <f t="shared" si="38"/>
        <v>281.93980914072819</v>
      </c>
      <c r="AM78" s="9">
        <f t="shared" si="39"/>
        <v>287.88901971808002</v>
      </c>
      <c r="AN78" s="51">
        <f t="shared" si="40"/>
        <v>281.85776537300819</v>
      </c>
      <c r="AR78" s="9">
        <f t="shared" si="41"/>
        <v>-52.723919281580407</v>
      </c>
      <c r="AS78" s="9">
        <f t="shared" si="41"/>
        <v>-46.209076877640371</v>
      </c>
      <c r="AT78" s="9">
        <f t="shared" si="41"/>
        <v>-35.059764040140465</v>
      </c>
      <c r="AU78" s="9">
        <f t="shared" si="41"/>
        <v>-29.497624176075362</v>
      </c>
      <c r="AV78" s="9">
        <f t="shared" si="41"/>
        <v>-21.529815416579055</v>
      </c>
      <c r="AW78" s="9">
        <f t="shared" si="41"/>
        <v>-16.630858873741147</v>
      </c>
      <c r="AX78" s="9">
        <f t="shared" si="41"/>
        <v>-10.195820522559245</v>
      </c>
      <c r="AY78" s="9">
        <f t="shared" si="41"/>
        <v>-0.97978481573306908</v>
      </c>
      <c r="AZ78" s="9">
        <f t="shared" si="41"/>
        <v>8.7898091407282095</v>
      </c>
      <c r="BA78" s="9">
        <f t="shared" si="41"/>
        <v>14.739019718080044</v>
      </c>
      <c r="BB78" s="51">
        <f t="shared" si="41"/>
        <v>8.7077653730082147</v>
      </c>
      <c r="BC78">
        <f t="shared" si="42"/>
        <v>360</v>
      </c>
    </row>
    <row r="79" spans="3:55" x14ac:dyDescent="0.25">
      <c r="C79">
        <f t="shared" si="43"/>
        <v>310</v>
      </c>
      <c r="D79" s="9">
        <f t="shared" si="28"/>
        <v>4.9831216846166211E-2</v>
      </c>
      <c r="E79" s="9">
        <f t="shared" si="28"/>
        <v>9.9646415943426547E-2</v>
      </c>
      <c r="F79" s="9">
        <f t="shared" si="28"/>
        <v>0.29874718920655308</v>
      </c>
      <c r="G79" s="9">
        <f t="shared" si="28"/>
        <v>0.49759229534510435</v>
      </c>
      <c r="H79" s="9">
        <f t="shared" si="28"/>
        <v>0.99358974358974361</v>
      </c>
      <c r="I79" s="9">
        <f t="shared" si="28"/>
        <v>1.488</v>
      </c>
      <c r="J79" s="9">
        <f t="shared" si="28"/>
        <v>2.4720893141945774</v>
      </c>
      <c r="K79" s="9">
        <f t="shared" si="28"/>
        <v>4.9050632911392409</v>
      </c>
      <c r="L79" s="9">
        <f t="shared" si="28"/>
        <v>9.657320872274143</v>
      </c>
      <c r="M79" s="9">
        <f t="shared" si="28"/>
        <v>14.263803680981592</v>
      </c>
      <c r="N79" s="51">
        <f t="shared" si="28"/>
        <v>9.6044130234217207</v>
      </c>
      <c r="Q79" s="9">
        <f t="shared" si="44"/>
        <v>-4.8090404202193318</v>
      </c>
      <c r="R79" s="9">
        <f t="shared" si="44"/>
        <v>-4.1160539726019492</v>
      </c>
      <c r="S79" s="9">
        <f t="shared" si="44"/>
        <v>-3.0180843574778109</v>
      </c>
      <c r="T79" s="9">
        <f t="shared" si="44"/>
        <v>-2.5079009944917652</v>
      </c>
      <c r="U79" s="9">
        <f t="shared" si="44"/>
        <v>-1.8163576635137944</v>
      </c>
      <c r="V79" s="9">
        <f t="shared" si="44"/>
        <v>-1.4124938367726039</v>
      </c>
      <c r="W79" s="9">
        <f t="shared" si="44"/>
        <v>-0.90486310390313229</v>
      </c>
      <c r="X79" s="9">
        <f t="shared" si="44"/>
        <v>-0.21965877685712373</v>
      </c>
      <c r="Y79" s="9">
        <f t="shared" si="44"/>
        <v>0.4577894941597177</v>
      </c>
      <c r="Z79" s="9">
        <f t="shared" si="44"/>
        <v>0.84779834403119025</v>
      </c>
      <c r="AA79" s="51">
        <f t="shared" si="44"/>
        <v>0.45229590960499744</v>
      </c>
      <c r="AD79" s="9">
        <f t="shared" si="30"/>
        <v>219.06907772633221</v>
      </c>
      <c r="AE79" s="9">
        <f t="shared" si="31"/>
        <v>225.5027821215217</v>
      </c>
      <c r="AF79" s="9">
        <f t="shared" si="32"/>
        <v>236.50780848080231</v>
      </c>
      <c r="AG79" s="9">
        <f t="shared" si="33"/>
        <v>241.99540630584843</v>
      </c>
      <c r="AH79" s="9">
        <f t="shared" si="34"/>
        <v>249.85346509361008</v>
      </c>
      <c r="AI79" s="9">
        <f t="shared" si="35"/>
        <v>254.6832080949969</v>
      </c>
      <c r="AJ79" s="9">
        <f t="shared" si="36"/>
        <v>261.02532497225604</v>
      </c>
      <c r="AK79" s="9">
        <f t="shared" si="37"/>
        <v>270.1043172135013</v>
      </c>
      <c r="AL79" s="9">
        <f t="shared" si="38"/>
        <v>279.72354169927559</v>
      </c>
      <c r="AM79" s="9">
        <f t="shared" si="39"/>
        <v>285.57861780866727</v>
      </c>
      <c r="AN79" s="51">
        <f t="shared" si="40"/>
        <v>279.64278253356423</v>
      </c>
      <c r="AR79" s="9">
        <f t="shared" si="41"/>
        <v>-54.080922273667767</v>
      </c>
      <c r="AS79" s="9">
        <f t="shared" si="41"/>
        <v>-47.647217878478273</v>
      </c>
      <c r="AT79" s="9">
        <f t="shared" si="41"/>
        <v>-36.642191519197667</v>
      </c>
      <c r="AU79" s="9">
        <f t="shared" si="41"/>
        <v>-31.154593694151544</v>
      </c>
      <c r="AV79" s="9">
        <f t="shared" si="41"/>
        <v>-23.296534906389894</v>
      </c>
      <c r="AW79" s="9">
        <f t="shared" si="41"/>
        <v>-18.466791905003078</v>
      </c>
      <c r="AX79" s="9">
        <f t="shared" si="41"/>
        <v>-12.124675027743933</v>
      </c>
      <c r="AY79" s="9">
        <f t="shared" si="41"/>
        <v>-3.0456827864986735</v>
      </c>
      <c r="AZ79" s="9">
        <f t="shared" si="41"/>
        <v>6.5735416992756086</v>
      </c>
      <c r="BA79" s="9">
        <f t="shared" si="41"/>
        <v>12.428617808667298</v>
      </c>
      <c r="BB79" s="51">
        <f t="shared" si="41"/>
        <v>6.4927825335642524</v>
      </c>
      <c r="BC79">
        <f t="shared" si="42"/>
        <v>310</v>
      </c>
    </row>
    <row r="80" spans="3:55" x14ac:dyDescent="0.25">
      <c r="C80">
        <f t="shared" si="43"/>
        <v>260</v>
      </c>
      <c r="D80" s="9">
        <f t="shared" si="28"/>
        <v>4.1793923806461991E-2</v>
      </c>
      <c r="E80" s="9">
        <f t="shared" si="28"/>
        <v>8.3574413371906145E-2</v>
      </c>
      <c r="F80" s="9">
        <f t="shared" si="28"/>
        <v>0.25056215868936715</v>
      </c>
      <c r="G80" s="9">
        <f t="shared" si="28"/>
        <v>0.4173354735152488</v>
      </c>
      <c r="H80" s="9">
        <f t="shared" si="28"/>
        <v>0.83333333333333337</v>
      </c>
      <c r="I80" s="9">
        <f t="shared" si="28"/>
        <v>1.248</v>
      </c>
      <c r="J80" s="9">
        <f t="shared" si="28"/>
        <v>2.073365231259968</v>
      </c>
      <c r="K80" s="9">
        <f t="shared" si="28"/>
        <v>4.1139240506329111</v>
      </c>
      <c r="L80" s="9">
        <f t="shared" si="28"/>
        <v>8.0996884735202492</v>
      </c>
      <c r="M80" s="9">
        <f t="shared" si="28"/>
        <v>11.963190184049079</v>
      </c>
      <c r="N80" s="51">
        <f t="shared" si="28"/>
        <v>8.0553141486762829</v>
      </c>
      <c r="Q80" s="9">
        <f t="shared" si="44"/>
        <v>-4.9849310866829954</v>
      </c>
      <c r="R80" s="9">
        <f t="shared" si="44"/>
        <v>-4.2919446390656129</v>
      </c>
      <c r="S80" s="9">
        <f t="shared" si="44"/>
        <v>-3.1939750239414746</v>
      </c>
      <c r="T80" s="9">
        <f t="shared" si="44"/>
        <v>-2.6837916609554293</v>
      </c>
      <c r="U80" s="9">
        <f t="shared" si="44"/>
        <v>-1.9922483299774587</v>
      </c>
      <c r="V80" s="9">
        <f t="shared" si="44"/>
        <v>-1.588384503236268</v>
      </c>
      <c r="W80" s="9">
        <f t="shared" si="44"/>
        <v>-1.0807537703667967</v>
      </c>
      <c r="X80" s="9">
        <f t="shared" si="44"/>
        <v>-0.39554944332078801</v>
      </c>
      <c r="Y80" s="9">
        <f t="shared" si="44"/>
        <v>0.28189882769605351</v>
      </c>
      <c r="Z80" s="9">
        <f t="shared" si="44"/>
        <v>0.67190767756752612</v>
      </c>
      <c r="AA80" s="51">
        <f t="shared" si="44"/>
        <v>0.27640524314133325</v>
      </c>
      <c r="AD80" s="9">
        <f t="shared" si="30"/>
        <v>217.49409886392465</v>
      </c>
      <c r="AE80" s="9">
        <f t="shared" si="31"/>
        <v>223.83428796304892</v>
      </c>
      <c r="AF80" s="9">
        <f t="shared" si="32"/>
        <v>234.67315073091606</v>
      </c>
      <c r="AG80" s="9">
        <f t="shared" si="33"/>
        <v>240.07496881880962</v>
      </c>
      <c r="AH80" s="9">
        <f t="shared" si="34"/>
        <v>247.80680941607204</v>
      </c>
      <c r="AI80" s="9">
        <f t="shared" si="35"/>
        <v>252.55699938678808</v>
      </c>
      <c r="AJ80" s="9">
        <f t="shared" si="36"/>
        <v>258.79236837356376</v>
      </c>
      <c r="AK80" s="9">
        <f t="shared" si="37"/>
        <v>267.71403686866699</v>
      </c>
      <c r="AL80" s="9">
        <f t="shared" si="38"/>
        <v>277.16078736628191</v>
      </c>
      <c r="AM80" s="9">
        <f t="shared" si="39"/>
        <v>282.90796742838427</v>
      </c>
      <c r="AN80" s="51">
        <f t="shared" si="40"/>
        <v>277.08150100107173</v>
      </c>
      <c r="AR80" s="9">
        <f t="shared" si="41"/>
        <v>-55.655901136075329</v>
      </c>
      <c r="AS80" s="9">
        <f t="shared" si="41"/>
        <v>-49.315712036951055</v>
      </c>
      <c r="AT80" s="9">
        <f t="shared" si="41"/>
        <v>-38.476849269083914</v>
      </c>
      <c r="AU80" s="9">
        <f t="shared" si="41"/>
        <v>-33.075031181190354</v>
      </c>
      <c r="AV80" s="9">
        <f t="shared" si="41"/>
        <v>-25.343190583927935</v>
      </c>
      <c r="AW80" s="9">
        <f t="shared" si="41"/>
        <v>-20.593000613211899</v>
      </c>
      <c r="AX80" s="9">
        <f t="shared" si="41"/>
        <v>-14.357631626436216</v>
      </c>
      <c r="AY80" s="9">
        <f t="shared" si="41"/>
        <v>-5.4359631313329828</v>
      </c>
      <c r="AZ80" s="9">
        <f t="shared" si="41"/>
        <v>4.0107873662819316</v>
      </c>
      <c r="BA80" s="9">
        <f t="shared" si="41"/>
        <v>9.7579674283842905</v>
      </c>
      <c r="BB80" s="51">
        <f t="shared" si="41"/>
        <v>3.9315010010717515</v>
      </c>
      <c r="BC80">
        <f t="shared" si="42"/>
        <v>260</v>
      </c>
    </row>
    <row r="81" spans="3:55" x14ac:dyDescent="0.25">
      <c r="C81">
        <f t="shared" si="43"/>
        <v>210</v>
      </c>
      <c r="D81" s="9">
        <f t="shared" ref="D81:N85" si="45">D$63*$C81/(0.622+D$63)</f>
        <v>3.3756630766757757E-2</v>
      </c>
      <c r="E81" s="9">
        <f t="shared" si="45"/>
        <v>6.7502410800385729E-2</v>
      </c>
      <c r="F81" s="9">
        <f t="shared" si="45"/>
        <v>0.20237712817218118</v>
      </c>
      <c r="G81" s="9">
        <f t="shared" si="45"/>
        <v>0.33707865168539325</v>
      </c>
      <c r="H81" s="9">
        <f t="shared" si="45"/>
        <v>0.67307692307692302</v>
      </c>
      <c r="I81" s="9">
        <f t="shared" si="45"/>
        <v>1.008</v>
      </c>
      <c r="J81" s="9">
        <f t="shared" si="45"/>
        <v>1.6746411483253589</v>
      </c>
      <c r="K81" s="9">
        <f t="shared" si="45"/>
        <v>3.3227848101265822</v>
      </c>
      <c r="L81" s="9">
        <f t="shared" si="45"/>
        <v>6.5420560747663554</v>
      </c>
      <c r="M81" s="9">
        <f t="shared" si="45"/>
        <v>9.6625766871165641</v>
      </c>
      <c r="N81" s="51">
        <f t="shared" si="45"/>
        <v>6.5062152739308425</v>
      </c>
      <c r="Q81" s="9">
        <f t="shared" si="44"/>
        <v>-5.1985051869810555</v>
      </c>
      <c r="R81" s="9">
        <f t="shared" si="44"/>
        <v>-4.505518739363672</v>
      </c>
      <c r="S81" s="9">
        <f t="shared" si="44"/>
        <v>-3.4075491242395337</v>
      </c>
      <c r="T81" s="9">
        <f t="shared" si="44"/>
        <v>-2.8973657612534884</v>
      </c>
      <c r="U81" s="9">
        <f t="shared" si="44"/>
        <v>-2.2058224302755178</v>
      </c>
      <c r="V81" s="9">
        <f t="shared" si="44"/>
        <v>-1.8019586035343271</v>
      </c>
      <c r="W81" s="9">
        <f t="shared" si="44"/>
        <v>-1.2943278706648556</v>
      </c>
      <c r="X81" s="9">
        <f t="shared" si="44"/>
        <v>-0.60912354361884713</v>
      </c>
      <c r="Y81" s="9">
        <f t="shared" si="44"/>
        <v>6.83247273979945E-2</v>
      </c>
      <c r="Z81" s="9">
        <f t="shared" si="44"/>
        <v>0.45833357726946705</v>
      </c>
      <c r="AA81" s="51">
        <f t="shared" si="44"/>
        <v>6.2831142843273999E-2</v>
      </c>
      <c r="AD81" s="9">
        <f t="shared" si="30"/>
        <v>215.6118713838373</v>
      </c>
      <c r="AE81" s="9">
        <f t="shared" si="31"/>
        <v>221.84122584961739</v>
      </c>
      <c r="AF81" s="9">
        <f t="shared" si="32"/>
        <v>232.48333688482165</v>
      </c>
      <c r="AG81" s="9">
        <f t="shared" si="33"/>
        <v>237.78367450245625</v>
      </c>
      <c r="AH81" s="9">
        <f t="shared" si="34"/>
        <v>245.36630208550463</v>
      </c>
      <c r="AI81" s="9">
        <f t="shared" si="35"/>
        <v>250.0225099674017</v>
      </c>
      <c r="AJ81" s="9">
        <f t="shared" si="36"/>
        <v>256.13184544258587</v>
      </c>
      <c r="AK81" s="9">
        <f t="shared" si="37"/>
        <v>264.86792170337299</v>
      </c>
      <c r="AL81" s="9">
        <f t="shared" si="38"/>
        <v>274.11141215081921</v>
      </c>
      <c r="AM81" s="9">
        <f t="shared" si="39"/>
        <v>279.73154260365254</v>
      </c>
      <c r="AN81" s="51">
        <f t="shared" si="40"/>
        <v>274.03386059112302</v>
      </c>
      <c r="AR81" s="9">
        <f t="shared" si="41"/>
        <v>-57.53812861616268</v>
      </c>
      <c r="AS81" s="9">
        <f t="shared" si="41"/>
        <v>-51.30877415038259</v>
      </c>
      <c r="AT81" s="9">
        <f t="shared" si="41"/>
        <v>-40.666663115178324</v>
      </c>
      <c r="AU81" s="9">
        <f t="shared" si="41"/>
        <v>-35.366325497543727</v>
      </c>
      <c r="AV81" s="9">
        <f t="shared" si="41"/>
        <v>-27.783697914495349</v>
      </c>
      <c r="AW81" s="9">
        <f t="shared" si="41"/>
        <v>-23.127490032598274</v>
      </c>
      <c r="AX81" s="9">
        <f t="shared" si="41"/>
        <v>-17.018154557414107</v>
      </c>
      <c r="AY81" s="9">
        <f t="shared" si="41"/>
        <v>-8.2820782966269917</v>
      </c>
      <c r="AZ81" s="9">
        <f t="shared" si="41"/>
        <v>0.96141215081922837</v>
      </c>
      <c r="BA81" s="9">
        <f t="shared" si="41"/>
        <v>6.581542603652565</v>
      </c>
      <c r="BB81" s="51">
        <f t="shared" si="41"/>
        <v>0.88386059112303883</v>
      </c>
      <c r="BC81">
        <f t="shared" si="42"/>
        <v>210</v>
      </c>
    </row>
    <row r="82" spans="3:55" x14ac:dyDescent="0.25">
      <c r="C82">
        <f t="shared" si="43"/>
        <v>160</v>
      </c>
      <c r="D82" s="9">
        <f t="shared" si="45"/>
        <v>2.571933772705353E-2</v>
      </c>
      <c r="E82" s="9">
        <f t="shared" si="45"/>
        <v>5.1430408228865319E-2</v>
      </c>
      <c r="F82" s="9">
        <f t="shared" si="45"/>
        <v>0.15419209765499514</v>
      </c>
      <c r="G82" s="9">
        <f t="shared" si="45"/>
        <v>0.25682182985553775</v>
      </c>
      <c r="H82" s="9">
        <f t="shared" si="45"/>
        <v>0.51282051282051289</v>
      </c>
      <c r="I82" s="9">
        <f t="shared" si="45"/>
        <v>0.76800000000000002</v>
      </c>
      <c r="J82" s="9">
        <f t="shared" si="45"/>
        <v>1.2759170653907497</v>
      </c>
      <c r="K82" s="9">
        <f t="shared" si="45"/>
        <v>2.5316455696202533</v>
      </c>
      <c r="L82" s="9">
        <f t="shared" si="45"/>
        <v>4.9844236760124616</v>
      </c>
      <c r="M82" s="9">
        <f t="shared" si="45"/>
        <v>7.3619631901840483</v>
      </c>
      <c r="N82" s="51">
        <f t="shared" si="45"/>
        <v>4.9571163991854039</v>
      </c>
      <c r="Q82" s="9">
        <f t="shared" si="44"/>
        <v>-5.4704389024646964</v>
      </c>
      <c r="R82" s="9">
        <f t="shared" si="44"/>
        <v>-4.7774524548473138</v>
      </c>
      <c r="S82" s="9">
        <f t="shared" si="44"/>
        <v>-3.679482839723176</v>
      </c>
      <c r="T82" s="9">
        <f t="shared" si="44"/>
        <v>-3.1692994767371303</v>
      </c>
      <c r="U82" s="9">
        <f t="shared" si="44"/>
        <v>-2.4777561457591593</v>
      </c>
      <c r="V82" s="9">
        <f t="shared" si="44"/>
        <v>-2.0738923190179688</v>
      </c>
      <c r="W82" s="9">
        <f t="shared" si="44"/>
        <v>-1.5662615861484974</v>
      </c>
      <c r="X82" s="9">
        <f t="shared" si="44"/>
        <v>-0.88105725910248878</v>
      </c>
      <c r="Y82" s="9">
        <f t="shared" si="44"/>
        <v>-0.2036089880856472</v>
      </c>
      <c r="Z82" s="9">
        <f t="shared" si="44"/>
        <v>0.18639986178582527</v>
      </c>
      <c r="AA82" s="51">
        <f t="shared" si="44"/>
        <v>-0.20910257264036763</v>
      </c>
      <c r="AD82" s="9">
        <f t="shared" si="30"/>
        <v>213.26195457354171</v>
      </c>
      <c r="AE82" s="9">
        <f t="shared" si="31"/>
        <v>219.35434526319696</v>
      </c>
      <c r="AF82" s="9">
        <f t="shared" si="32"/>
        <v>229.75360123447047</v>
      </c>
      <c r="AG82" s="9">
        <f t="shared" si="33"/>
        <v>234.92881489706926</v>
      </c>
      <c r="AH82" s="9">
        <f t="shared" si="34"/>
        <v>242.32762688991727</v>
      </c>
      <c r="AI82" s="9">
        <f t="shared" si="35"/>
        <v>246.86815462841255</v>
      </c>
      <c r="AJ82" s="9">
        <f t="shared" si="36"/>
        <v>252.82247268930436</v>
      </c>
      <c r="AK82" s="9">
        <f t="shared" si="37"/>
        <v>261.33050754661406</v>
      </c>
      <c r="AL82" s="9">
        <f t="shared" si="38"/>
        <v>270.32455392773949</v>
      </c>
      <c r="AM82" s="9">
        <f t="shared" si="39"/>
        <v>275.78892464764647</v>
      </c>
      <c r="AN82" s="51">
        <f t="shared" si="40"/>
        <v>270.24913002685503</v>
      </c>
      <c r="AR82" s="9">
        <f t="shared" si="41"/>
        <v>-59.888045426458262</v>
      </c>
      <c r="AS82" s="9">
        <f t="shared" si="41"/>
        <v>-53.795654736803016</v>
      </c>
      <c r="AT82" s="9">
        <f t="shared" si="41"/>
        <v>-43.396398765529511</v>
      </c>
      <c r="AU82" s="9">
        <f t="shared" si="41"/>
        <v>-38.221185102930718</v>
      </c>
      <c r="AV82" s="9">
        <f t="shared" si="41"/>
        <v>-30.822373110082708</v>
      </c>
      <c r="AW82" s="9">
        <f t="shared" si="41"/>
        <v>-26.281845371587423</v>
      </c>
      <c r="AX82" s="9">
        <f t="shared" si="41"/>
        <v>-20.327527310695615</v>
      </c>
      <c r="AY82" s="9">
        <f t="shared" si="41"/>
        <v>-11.819492453385919</v>
      </c>
      <c r="AZ82" s="9">
        <f t="shared" si="41"/>
        <v>-2.8254460722604904</v>
      </c>
      <c r="BA82" s="9">
        <f t="shared" si="41"/>
        <v>2.6389246476464905</v>
      </c>
      <c r="BB82" s="51">
        <f t="shared" si="41"/>
        <v>-2.9008699731449497</v>
      </c>
      <c r="BC82">
        <f t="shared" si="42"/>
        <v>160</v>
      </c>
    </row>
    <row r="83" spans="3:55" x14ac:dyDescent="0.25">
      <c r="C83">
        <f t="shared" si="43"/>
        <v>110</v>
      </c>
      <c r="D83" s="9">
        <f t="shared" si="45"/>
        <v>1.7682044687349303E-2</v>
      </c>
      <c r="E83" s="9">
        <f t="shared" si="45"/>
        <v>3.535840565734491E-2</v>
      </c>
      <c r="F83" s="9">
        <f t="shared" si="45"/>
        <v>0.10600706713780916</v>
      </c>
      <c r="G83" s="9">
        <f t="shared" si="45"/>
        <v>0.17656500802568217</v>
      </c>
      <c r="H83" s="9">
        <f t="shared" si="45"/>
        <v>0.35256410256410259</v>
      </c>
      <c r="I83" s="9">
        <f t="shared" si="45"/>
        <v>0.52800000000000002</v>
      </c>
      <c r="J83" s="9">
        <f t="shared" si="45"/>
        <v>0.87719298245614041</v>
      </c>
      <c r="K83" s="9">
        <f t="shared" si="45"/>
        <v>1.7405063291139242</v>
      </c>
      <c r="L83" s="9">
        <f t="shared" si="45"/>
        <v>3.4267912772585674</v>
      </c>
      <c r="M83" s="9">
        <f t="shared" si="45"/>
        <v>5.0613496932515334</v>
      </c>
      <c r="N83" s="51">
        <f t="shared" si="45"/>
        <v>3.4080175244399658</v>
      </c>
      <c r="Q83" s="9">
        <f t="shared" si="44"/>
        <v>-5.8451323519061074</v>
      </c>
      <c r="R83" s="9">
        <f t="shared" si="44"/>
        <v>-5.1521459042887248</v>
      </c>
      <c r="S83" s="9">
        <f t="shared" si="44"/>
        <v>-4.0541762891645865</v>
      </c>
      <c r="T83" s="9">
        <f t="shared" si="44"/>
        <v>-3.5439929261785408</v>
      </c>
      <c r="U83" s="9">
        <f t="shared" si="44"/>
        <v>-2.8524495952005702</v>
      </c>
      <c r="V83" s="9">
        <f t="shared" si="44"/>
        <v>-2.4485857684593797</v>
      </c>
      <c r="W83" s="9">
        <f t="shared" si="44"/>
        <v>-1.9409550355899081</v>
      </c>
      <c r="X83" s="9">
        <f t="shared" si="44"/>
        <v>-1.2557507085438995</v>
      </c>
      <c r="Y83" s="9">
        <f t="shared" si="44"/>
        <v>-0.57830243752705779</v>
      </c>
      <c r="Z83" s="9">
        <f t="shared" si="44"/>
        <v>-0.18829358765558549</v>
      </c>
      <c r="AA83" s="51">
        <f t="shared" si="44"/>
        <v>-0.58379602208177828</v>
      </c>
      <c r="AD83" s="9">
        <f t="shared" si="30"/>
        <v>210.10671174011597</v>
      </c>
      <c r="AE83" s="9">
        <f t="shared" si="31"/>
        <v>216.01766201430058</v>
      </c>
      <c r="AF83" s="9">
        <f t="shared" si="32"/>
        <v>226.09568232126279</v>
      </c>
      <c r="AG83" s="9">
        <f t="shared" si="33"/>
        <v>231.10562143251292</v>
      </c>
      <c r="AH83" s="9">
        <f t="shared" si="34"/>
        <v>238.26191099291938</v>
      </c>
      <c r="AI83" s="9">
        <f t="shared" si="35"/>
        <v>242.64997758311742</v>
      </c>
      <c r="AJ83" s="9">
        <f t="shared" si="36"/>
        <v>248.4001842457229</v>
      </c>
      <c r="AK83" s="9">
        <f t="shared" si="37"/>
        <v>256.60835105244053</v>
      </c>
      <c r="AL83" s="9">
        <f t="shared" si="38"/>
        <v>265.27490551037204</v>
      </c>
      <c r="AM83" s="9">
        <f t="shared" si="39"/>
        <v>270.5350484338673</v>
      </c>
      <c r="AN83" s="51">
        <f t="shared" si="40"/>
        <v>265.20227274146697</v>
      </c>
      <c r="AR83" s="9">
        <f t="shared" si="41"/>
        <v>-63.043288259884008</v>
      </c>
      <c r="AS83" s="9">
        <f t="shared" si="41"/>
        <v>-57.132337985699394</v>
      </c>
      <c r="AT83" s="9">
        <f t="shared" si="41"/>
        <v>-47.054317678737192</v>
      </c>
      <c r="AU83" s="9">
        <f t="shared" si="41"/>
        <v>-42.044378567487058</v>
      </c>
      <c r="AV83" s="9">
        <f t="shared" si="41"/>
        <v>-34.888089007080595</v>
      </c>
      <c r="AW83" s="9">
        <f t="shared" si="41"/>
        <v>-30.500022416882558</v>
      </c>
      <c r="AX83" s="9">
        <f t="shared" si="41"/>
        <v>-24.74981575427708</v>
      </c>
      <c r="AY83" s="9">
        <f t="shared" si="41"/>
        <v>-16.541648947559452</v>
      </c>
      <c r="AZ83" s="9">
        <f t="shared" si="41"/>
        <v>-7.8750944896279407</v>
      </c>
      <c r="BA83" s="9">
        <f t="shared" si="41"/>
        <v>-2.6149515661326745</v>
      </c>
      <c r="BB83" s="51">
        <f t="shared" si="41"/>
        <v>-7.947727258533007</v>
      </c>
      <c r="BC83">
        <f t="shared" si="42"/>
        <v>110</v>
      </c>
    </row>
    <row r="84" spans="3:55" x14ac:dyDescent="0.25">
      <c r="C84">
        <f t="shared" si="43"/>
        <v>60</v>
      </c>
      <c r="D84" s="9">
        <f t="shared" si="45"/>
        <v>9.644751647645073E-3</v>
      </c>
      <c r="E84" s="9">
        <f t="shared" si="45"/>
        <v>1.9286403085824494E-2</v>
      </c>
      <c r="F84" s="9">
        <f t="shared" si="45"/>
        <v>5.7822036620623185E-2</v>
      </c>
      <c r="G84" s="9">
        <f t="shared" si="45"/>
        <v>9.6308186195826637E-2</v>
      </c>
      <c r="H84" s="9">
        <f t="shared" si="45"/>
        <v>0.19230769230769229</v>
      </c>
      <c r="I84" s="9">
        <f t="shared" si="45"/>
        <v>0.28799999999999998</v>
      </c>
      <c r="J84" s="9">
        <f t="shared" si="45"/>
        <v>0.4784688995215311</v>
      </c>
      <c r="K84" s="9">
        <f t="shared" si="45"/>
        <v>0.94936708860759489</v>
      </c>
      <c r="L84" s="9">
        <f t="shared" si="45"/>
        <v>1.8691588785046729</v>
      </c>
      <c r="M84" s="9">
        <f t="shared" si="45"/>
        <v>2.760736196319018</v>
      </c>
      <c r="N84" s="51">
        <f t="shared" si="45"/>
        <v>1.8589186496945267</v>
      </c>
      <c r="Q84" s="9">
        <f t="shared" si="44"/>
        <v>-6.4512681554764235</v>
      </c>
      <c r="R84" s="9">
        <f t="shared" si="44"/>
        <v>-5.75828170785904</v>
      </c>
      <c r="S84" s="9">
        <f t="shared" si="44"/>
        <v>-4.6603120927349018</v>
      </c>
      <c r="T84" s="9">
        <f t="shared" si="44"/>
        <v>-4.1501287297488565</v>
      </c>
      <c r="U84" s="9">
        <f t="shared" si="44"/>
        <v>-3.4585853987708859</v>
      </c>
      <c r="V84" s="9">
        <f t="shared" si="44"/>
        <v>-3.054721572029695</v>
      </c>
      <c r="W84" s="9">
        <f t="shared" si="44"/>
        <v>-2.5470908391602238</v>
      </c>
      <c r="X84" s="9">
        <f t="shared" si="44"/>
        <v>-1.8618865121142152</v>
      </c>
      <c r="Y84" s="9">
        <f t="shared" si="44"/>
        <v>-1.1844382410973735</v>
      </c>
      <c r="Z84" s="9">
        <f t="shared" si="44"/>
        <v>-0.79442939122590106</v>
      </c>
      <c r="AA84" s="51">
        <f t="shared" si="44"/>
        <v>-1.1899318256520939</v>
      </c>
      <c r="AD84" s="9">
        <f t="shared" si="30"/>
        <v>205.19558377125026</v>
      </c>
      <c r="AE84" s="9">
        <f t="shared" si="31"/>
        <v>210.829728218273</v>
      </c>
      <c r="AF84" s="9">
        <f t="shared" si="32"/>
        <v>220.41874487226559</v>
      </c>
      <c r="AG84" s="9">
        <f t="shared" si="33"/>
        <v>225.17761003620524</v>
      </c>
      <c r="AH84" s="9">
        <f t="shared" si="34"/>
        <v>231.9660890600444</v>
      </c>
      <c r="AI84" s="9">
        <f t="shared" si="35"/>
        <v>236.12329626109255</v>
      </c>
      <c r="AJ84" s="9">
        <f t="shared" si="36"/>
        <v>241.5648620459165</v>
      </c>
      <c r="AK84" s="9">
        <f t="shared" si="37"/>
        <v>249.32045757323652</v>
      </c>
      <c r="AL84" s="9">
        <f t="shared" si="38"/>
        <v>257.49388772456024</v>
      </c>
      <c r="AM84" s="9">
        <f t="shared" si="39"/>
        <v>262.44709536407873</v>
      </c>
      <c r="AN84" s="51">
        <f t="shared" si="40"/>
        <v>257.42545283033627</v>
      </c>
      <c r="AR84" s="9">
        <f t="shared" si="41"/>
        <v>-67.954416228749722</v>
      </c>
      <c r="AS84" s="9">
        <f t="shared" si="41"/>
        <v>-62.320271781726973</v>
      </c>
      <c r="AT84" s="9">
        <f t="shared" si="41"/>
        <v>-52.731255127734386</v>
      </c>
      <c r="AU84" s="9">
        <f t="shared" si="41"/>
        <v>-47.97238996379474</v>
      </c>
      <c r="AV84" s="9">
        <f t="shared" si="41"/>
        <v>-41.183910939955581</v>
      </c>
      <c r="AW84" s="9">
        <f t="shared" si="41"/>
        <v>-37.026703738907429</v>
      </c>
      <c r="AX84" s="9">
        <f t="shared" si="41"/>
        <v>-31.585137954083478</v>
      </c>
      <c r="AY84" s="9">
        <f t="shared" si="41"/>
        <v>-23.829542426763453</v>
      </c>
      <c r="AZ84" s="9">
        <f t="shared" si="41"/>
        <v>-15.656112275439739</v>
      </c>
      <c r="BA84" s="9">
        <f t="shared" si="41"/>
        <v>-10.702904635921243</v>
      </c>
      <c r="BB84" s="51">
        <f t="shared" si="41"/>
        <v>-15.724547169663708</v>
      </c>
      <c r="BC84">
        <f t="shared" si="42"/>
        <v>60</v>
      </c>
    </row>
    <row r="85" spans="3:55" x14ac:dyDescent="0.25">
      <c r="C85">
        <f>C84-50+0.01</f>
        <v>10.01</v>
      </c>
      <c r="D85" s="9">
        <f t="shared" si="45"/>
        <v>1.6090660665487864E-3</v>
      </c>
      <c r="E85" s="9">
        <f t="shared" si="45"/>
        <v>3.2176149148183861E-3</v>
      </c>
      <c r="F85" s="9">
        <f t="shared" si="45"/>
        <v>9.6466431095406334E-3</v>
      </c>
      <c r="G85" s="9">
        <f t="shared" si="45"/>
        <v>1.6067415730337077E-2</v>
      </c>
      <c r="H85" s="9">
        <f t="shared" si="45"/>
        <v>3.2083333333333332E-2</v>
      </c>
      <c r="I85" s="9">
        <f t="shared" si="45"/>
        <v>4.8048E-2</v>
      </c>
      <c r="J85" s="9">
        <f t="shared" si="45"/>
        <v>7.982456140350877E-2</v>
      </c>
      <c r="K85" s="9">
        <f t="shared" si="45"/>
        <v>0.15838607594936707</v>
      </c>
      <c r="L85" s="9">
        <f t="shared" si="45"/>
        <v>0.3118380062305296</v>
      </c>
      <c r="M85" s="9">
        <f t="shared" si="45"/>
        <v>0.46058282208588947</v>
      </c>
      <c r="N85" s="51">
        <f t="shared" si="45"/>
        <v>0.31012959472403684</v>
      </c>
      <c r="Q85" s="9">
        <f t="shared" si="44"/>
        <v>-8.2420281243713944</v>
      </c>
      <c r="R85" s="9">
        <f t="shared" si="44"/>
        <v>-7.5490416767540118</v>
      </c>
      <c r="S85" s="9">
        <f t="shared" si="44"/>
        <v>-6.4510720616298736</v>
      </c>
      <c r="T85" s="9">
        <f t="shared" si="44"/>
        <v>-5.9408886986438283</v>
      </c>
      <c r="U85" s="9">
        <f t="shared" si="44"/>
        <v>-5.2493453676658577</v>
      </c>
      <c r="V85" s="9">
        <f t="shared" si="44"/>
        <v>-4.8454815409246663</v>
      </c>
      <c r="W85" s="9">
        <f t="shared" si="44"/>
        <v>-4.3378508080551947</v>
      </c>
      <c r="X85" s="9">
        <f t="shared" si="44"/>
        <v>-3.6526464810091865</v>
      </c>
      <c r="Y85" s="9">
        <f t="shared" si="44"/>
        <v>-2.9751982099923451</v>
      </c>
      <c r="Z85" s="9">
        <f t="shared" si="44"/>
        <v>-2.5851893601208729</v>
      </c>
      <c r="AA85" s="51">
        <f t="shared" si="44"/>
        <v>-2.9806917945470652</v>
      </c>
      <c r="AD85" s="9">
        <f t="shared" si="30"/>
        <v>191.94070243331967</v>
      </c>
      <c r="AE85" s="9">
        <f t="shared" si="31"/>
        <v>196.86173811043616</v>
      </c>
      <c r="AF85" s="9">
        <f t="shared" si="32"/>
        <v>205.19713546727047</v>
      </c>
      <c r="AG85" s="9">
        <f t="shared" si="33"/>
        <v>209.31528301148825</v>
      </c>
      <c r="AH85" s="9">
        <f t="shared" si="34"/>
        <v>215.1686078122585</v>
      </c>
      <c r="AI85" s="9">
        <f t="shared" si="35"/>
        <v>218.74090220724133</v>
      </c>
      <c r="AJ85" s="9">
        <f t="shared" si="36"/>
        <v>223.40287836102638</v>
      </c>
      <c r="AK85" s="9">
        <f t="shared" si="37"/>
        <v>230.02013678919354</v>
      </c>
      <c r="AL85" s="9">
        <f t="shared" si="38"/>
        <v>236.9594980036064</v>
      </c>
      <c r="AM85" s="9">
        <f t="shared" si="39"/>
        <v>241.14777326176181</v>
      </c>
      <c r="AN85" s="51">
        <f t="shared" si="40"/>
        <v>236.90154163064065</v>
      </c>
      <c r="AR85" s="9">
        <f t="shared" si="41"/>
        <v>-81.209297566680306</v>
      </c>
      <c r="AS85" s="9">
        <f t="shared" si="41"/>
        <v>-76.288261889563813</v>
      </c>
      <c r="AT85" s="9">
        <f t="shared" si="41"/>
        <v>-67.952864532729507</v>
      </c>
      <c r="AU85" s="9">
        <f t="shared" si="41"/>
        <v>-63.83471698851173</v>
      </c>
      <c r="AV85" s="9">
        <f t="shared" si="41"/>
        <v>-57.981392187741477</v>
      </c>
      <c r="AW85" s="9">
        <f t="shared" si="41"/>
        <v>-54.409097792758644</v>
      </c>
      <c r="AX85" s="9">
        <f t="shared" si="41"/>
        <v>-49.747121638973596</v>
      </c>
      <c r="AY85" s="9">
        <f t="shared" si="41"/>
        <v>-43.129863210806434</v>
      </c>
      <c r="AZ85" s="9">
        <f t="shared" si="41"/>
        <v>-36.190501996393579</v>
      </c>
      <c r="BA85" s="9">
        <f t="shared" si="41"/>
        <v>-32.002226738238164</v>
      </c>
      <c r="BB85" s="51">
        <f t="shared" si="41"/>
        <v>-36.248458369359327</v>
      </c>
      <c r="BC85">
        <f t="shared" si="42"/>
        <v>10.01</v>
      </c>
    </row>
  </sheetData>
  <sheetProtection password="E3E2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Eingabe Diagramme</vt:lpstr>
      <vt:lpstr>Daten Auswertung</vt:lpstr>
      <vt:lpstr>Standardatmosphäre</vt:lpstr>
      <vt:lpstr>Adiabaten</vt:lpstr>
      <vt:lpstr>Sättigungsmischungsverhältnis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2019-07-24T10:59:37Z</dcterms:created>
  <dcterms:modified xsi:type="dcterms:W3CDTF">2019-09-22T13:13:39Z</dcterms:modified>
</cp:coreProperties>
</file>